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EStrungari\Desktop\Furnizare gaze naturale\SA Energocom\Preț reglementat 2026\Actualizare la 30 septembrie 2026\Materiale ședinta publică\Publicare rezultate\"/>
    </mc:Choice>
  </mc:AlternateContent>
  <xr:revisionPtr revIDLastSave="0" documentId="13_ncr:1_{6E27B3FC-7473-4E18-89A7-B16137DCB022}" xr6:coauthVersionLast="47" xr6:coauthVersionMax="47" xr10:uidLastSave="{00000000-0000-0000-0000-000000000000}"/>
  <bookViews>
    <workbookView xWindow="4065" yWindow="1710" windowWidth="21600" windowHeight="11385" xr2:uid="{00000000-000D-0000-FFFF-FFFF00000000}"/>
  </bookViews>
  <sheets>
    <sheet name="Calcul preț trim 4 2026" sheetId="1" r:id="rId1"/>
    <sheet name="Cost Gaze naturale" sheetId="2" r:id="rId2"/>
    <sheet name="Calcul devieri ian-septemb" sheetId="3" r:id="rId3"/>
  </sheets>
  <externalReferences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  <c r="P33" i="1" s="1"/>
  <c r="F30" i="1" l="1"/>
  <c r="E6" i="1"/>
  <c r="G7" i="1"/>
  <c r="G8" i="1"/>
  <c r="E29" i="3"/>
  <c r="E27" i="3"/>
  <c r="E23" i="3"/>
  <c r="E22" i="3"/>
  <c r="E21" i="3"/>
  <c r="E20" i="3"/>
  <c r="E19" i="3"/>
  <c r="E18" i="3"/>
  <c r="E17" i="3"/>
  <c r="E13" i="3"/>
  <c r="E14" i="3" s="1"/>
  <c r="E12" i="3"/>
  <c r="E11" i="3"/>
  <c r="E10" i="3"/>
  <c r="E9" i="3"/>
  <c r="E8" i="3"/>
  <c r="E6" i="3"/>
  <c r="E25" i="3"/>
  <c r="E7" i="3"/>
  <c r="I18" i="2"/>
  <c r="I17" i="2"/>
  <c r="I16" i="2"/>
  <c r="I7" i="2"/>
  <c r="I8" i="2"/>
  <c r="E8" i="2" s="1"/>
  <c r="I9" i="2"/>
  <c r="I10" i="2"/>
  <c r="I11" i="2"/>
  <c r="I12" i="2"/>
  <c r="I13" i="2"/>
  <c r="I14" i="2"/>
  <c r="I6" i="2"/>
  <c r="F10" i="2"/>
  <c r="D14" i="2"/>
  <c r="D13" i="2"/>
  <c r="D12" i="2"/>
  <c r="D11" i="2"/>
  <c r="D10" i="2"/>
  <c r="D9" i="2"/>
  <c r="D8" i="2"/>
  <c r="D7" i="2"/>
  <c r="D6" i="2"/>
  <c r="H26" i="2"/>
  <c r="F26" i="2"/>
  <c r="E26" i="2"/>
  <c r="C26" i="2"/>
  <c r="B26" i="2"/>
  <c r="H25" i="2"/>
  <c r="F25" i="2"/>
  <c r="E25" i="2"/>
  <c r="C25" i="2"/>
  <c r="B25" i="2"/>
  <c r="H22" i="2"/>
  <c r="H21" i="2"/>
  <c r="C21" i="2"/>
  <c r="H19" i="2"/>
  <c r="F19" i="2"/>
  <c r="E18" i="2"/>
  <c r="J18" i="2" s="1"/>
  <c r="AB17" i="2"/>
  <c r="C19" i="2"/>
  <c r="B19" i="2"/>
  <c r="E16" i="2"/>
  <c r="J16" i="2" s="1"/>
  <c r="C22" i="2"/>
  <c r="H15" i="2"/>
  <c r="C15" i="2"/>
  <c r="F14" i="2"/>
  <c r="E14" i="2"/>
  <c r="J14" i="2" s="1"/>
  <c r="F13" i="2"/>
  <c r="E13" i="2" s="1"/>
  <c r="J13" i="2" s="1"/>
  <c r="F12" i="2"/>
  <c r="E12" i="2" s="1"/>
  <c r="J12" i="2" s="1"/>
  <c r="J11" i="2"/>
  <c r="F11" i="2"/>
  <c r="J10" i="2"/>
  <c r="F22" i="2"/>
  <c r="B22" i="2"/>
  <c r="N9" i="2"/>
  <c r="O9" i="2" s="1"/>
  <c r="L9" i="2"/>
  <c r="J9" i="2"/>
  <c r="F9" i="2"/>
  <c r="O8" i="2"/>
  <c r="N8" i="2"/>
  <c r="L8" i="2"/>
  <c r="J8" i="2"/>
  <c r="F8" i="2"/>
  <c r="O7" i="2"/>
  <c r="N7" i="2"/>
  <c r="L7" i="2"/>
  <c r="F7" i="2"/>
  <c r="J7" i="2"/>
  <c r="N6" i="2"/>
  <c r="O6" i="2" s="1"/>
  <c r="L6" i="2"/>
  <c r="J6" i="2"/>
  <c r="F6" i="2"/>
  <c r="B15" i="2"/>
  <c r="B20" i="2" s="1"/>
  <c r="J24" i="1"/>
  <c r="G24" i="1"/>
  <c r="E34" i="1"/>
  <c r="I24" i="1"/>
  <c r="E13" i="1"/>
  <c r="I13" i="1" s="1"/>
  <c r="E12" i="1"/>
  <c r="E9" i="1" s="1"/>
  <c r="I11" i="1"/>
  <c r="O9" i="1"/>
  <c r="M9" i="1"/>
  <c r="K9" i="1"/>
  <c r="G6" i="1" l="1"/>
  <c r="E15" i="3"/>
  <c r="E16" i="3" s="1"/>
  <c r="H20" i="2"/>
  <c r="F15" i="2"/>
  <c r="E9" i="2"/>
  <c r="E22" i="2"/>
  <c r="E29" i="2" s="1"/>
  <c r="D15" i="2"/>
  <c r="E11" i="2"/>
  <c r="F20" i="2"/>
  <c r="E15" i="2"/>
  <c r="I15" i="2"/>
  <c r="E19" i="2"/>
  <c r="AC17" i="2" s="1"/>
  <c r="AD17" i="2" s="1"/>
  <c r="I19" i="2"/>
  <c r="G19" i="2"/>
  <c r="J19" i="2" s="1"/>
  <c r="O11" i="2"/>
  <c r="D19" i="2"/>
  <c r="E17" i="2"/>
  <c r="J17" i="2" s="1"/>
  <c r="B21" i="2"/>
  <c r="E6" i="2"/>
  <c r="E10" i="2"/>
  <c r="AC19" i="2"/>
  <c r="AD19" i="2" s="1"/>
  <c r="F21" i="2"/>
  <c r="E21" i="2" s="1"/>
  <c r="E28" i="2" s="1"/>
  <c r="E7" i="2"/>
  <c r="C20" i="2"/>
  <c r="D20" i="2" s="1"/>
  <c r="AC16" i="2"/>
  <c r="AD16" i="2" s="1"/>
  <c r="AC18" i="2"/>
  <c r="AD18" i="2" s="1"/>
  <c r="G15" i="2"/>
  <c r="J15" i="2" s="1"/>
  <c r="I12" i="1"/>
  <c r="I9" i="1" s="1"/>
  <c r="I5" i="1" s="1"/>
  <c r="I30" i="1" s="1"/>
  <c r="J30" i="1" s="1"/>
  <c r="G30" i="1" l="1"/>
  <c r="G5" i="1"/>
  <c r="E20" i="2"/>
  <c r="I20" i="2"/>
  <c r="G20" i="2"/>
  <c r="J20" i="2" s="1"/>
  <c r="F34" i="1" l="1"/>
  <c r="J33" i="1" l="1"/>
  <c r="H33" i="1"/>
  <c r="N34" i="1"/>
  <c r="L34" i="1"/>
  <c r="J34" i="1"/>
  <c r="P34" i="1"/>
  <c r="H34" i="1"/>
  <c r="F28" i="1"/>
  <c r="G33" i="1"/>
  <c r="F23" i="1"/>
  <c r="G34" i="1"/>
  <c r="I34" i="1"/>
  <c r="I33" i="1"/>
  <c r="L33" i="1"/>
  <c r="N33" i="1"/>
  <c r="H30" i="1"/>
  <c r="I28" i="1" l="1"/>
  <c r="G28" i="1"/>
  <c r="H28" i="1" s="1"/>
  <c r="L23" i="1"/>
  <c r="J23" i="1"/>
  <c r="I23" i="1" s="1"/>
  <c r="J28" i="1"/>
  <c r="N23" i="1" l="1"/>
  <c r="P23" i="1" s="1"/>
  <c r="E24" i="3" l="1"/>
  <c r="E26" i="3" l="1"/>
  <c r="E28" i="3"/>
  <c r="E30" i="3" s="1"/>
  <c r="E16" i="1" l="1"/>
  <c r="M16" i="1" s="1"/>
  <c r="M14" i="1" s="1"/>
  <c r="M5" i="1" s="1"/>
  <c r="E17" i="1"/>
  <c r="O17" i="1" s="1"/>
  <c r="O14" i="1" s="1"/>
  <c r="O5" i="1" s="1"/>
  <c r="E15" i="1"/>
  <c r="K15" i="1" l="1"/>
  <c r="K14" i="1" s="1"/>
  <c r="K5" i="1" s="1"/>
  <c r="K28" i="1" s="1"/>
  <c r="E14" i="1"/>
  <c r="M34" i="1" l="1"/>
  <c r="M30" i="1"/>
  <c r="N30" i="1" s="1"/>
  <c r="M33" i="1"/>
  <c r="M28" i="1"/>
  <c r="N28" i="1" s="1"/>
  <c r="M23" i="1"/>
  <c r="O34" i="1"/>
  <c r="O33" i="1"/>
  <c r="O30" i="1"/>
  <c r="P30" i="1" s="1"/>
  <c r="O28" i="1"/>
  <c r="P28" i="1" s="1"/>
  <c r="O23" i="1"/>
  <c r="K30" i="1" l="1"/>
  <c r="L30" i="1" s="1"/>
  <c r="K34" i="1"/>
  <c r="K33" i="1"/>
  <c r="L28" i="1"/>
  <c r="K23" i="1"/>
  <c r="E19" i="1" l="1"/>
  <c r="E20" i="1" l="1"/>
  <c r="E21" i="1"/>
  <c r="E22" i="1" s="1"/>
  <c r="F22" i="1" l="1"/>
  <c r="G22" i="1" l="1"/>
  <c r="G29" i="1" s="1"/>
  <c r="H22" i="1"/>
  <c r="O22" i="1"/>
  <c r="K22" i="1"/>
  <c r="M22" i="1"/>
  <c r="I22" i="1"/>
  <c r="I29" i="1" s="1"/>
  <c r="L22" i="1" l="1"/>
  <c r="P22" i="1"/>
  <c r="N22" i="1"/>
  <c r="H29" i="1"/>
  <c r="G32" i="1"/>
  <c r="J22" i="1"/>
  <c r="H32" i="1" l="1"/>
  <c r="H35" i="1" s="1"/>
  <c r="J29" i="1"/>
  <c r="I32" i="1"/>
  <c r="J32" i="1" s="1"/>
  <c r="I35" i="1" l="1"/>
  <c r="J35" i="1"/>
  <c r="E26" i="1" l="1"/>
  <c r="M26" i="1" s="1"/>
  <c r="M24" i="1" l="1"/>
  <c r="M29" i="1" s="1"/>
  <c r="N29" i="1" s="1"/>
  <c r="N26" i="1"/>
  <c r="N24" i="1" s="1"/>
  <c r="E27" i="1"/>
  <c r="O27" i="1" s="1"/>
  <c r="E25" i="1"/>
  <c r="P27" i="1" l="1"/>
  <c r="P24" i="1" s="1"/>
  <c r="O24" i="1"/>
  <c r="O29" i="1" s="1"/>
  <c r="P29" i="1" s="1"/>
  <c r="K25" i="1"/>
  <c r="E24" i="1"/>
  <c r="M32" i="1"/>
  <c r="N32" i="1" s="1"/>
  <c r="F24" i="1" l="1"/>
  <c r="E35" i="1"/>
  <c r="F35" i="1" s="1"/>
  <c r="E29" i="1"/>
  <c r="M35" i="1"/>
  <c r="N35" i="1"/>
  <c r="K24" i="1"/>
  <c r="K29" i="1" s="1"/>
  <c r="L25" i="1"/>
  <c r="L24" i="1" s="1"/>
  <c r="O32" i="1"/>
  <c r="P32" i="1" s="1"/>
  <c r="E32" i="1" l="1"/>
  <c r="F32" i="1" s="1"/>
  <c r="F29" i="1"/>
  <c r="P35" i="1"/>
  <c r="O35" i="1"/>
  <c r="L29" i="1"/>
  <c r="K32" i="1"/>
  <c r="L32" i="1" s="1"/>
  <c r="K35" i="1" l="1"/>
  <c r="L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Strungari Ecaterina</author>
  </authors>
  <commentList>
    <comment ref="E33" authorId="0" shapeId="0" xr:uid="{84DCE58C-9283-41D6-A786-33B6E7D2BB03}">
      <text>
        <r>
          <rPr>
            <b/>
            <sz val="9"/>
            <color indexed="81"/>
            <rFont val="Tahoma"/>
            <family val="2"/>
          </rPr>
          <t>Strungari Ecaterina:</t>
        </r>
        <r>
          <rPr>
            <sz val="9"/>
            <color indexed="81"/>
            <rFont val="Tahoma"/>
            <family val="2"/>
          </rPr>
          <t xml:space="preserve">
conform ponderii volumelor</t>
        </r>
      </text>
    </comment>
  </commentList>
</comments>
</file>

<file path=xl/sharedStrings.xml><?xml version="1.0" encoding="utf-8"?>
<sst xmlns="http://schemas.openxmlformats.org/spreadsheetml/2006/main" count="254" uniqueCount="139">
  <si>
    <t>Nr. ord.</t>
  </si>
  <si>
    <t>Denumirea</t>
  </si>
  <si>
    <t>Simbol</t>
  </si>
  <si>
    <t>Unitatea de masura</t>
  </si>
  <si>
    <t xml:space="preserve">Calculul prețului reglementat </t>
  </si>
  <si>
    <t>La punctele de intrare în rețelele de transport</t>
  </si>
  <si>
    <t>La punctele de ieșire din rețelele de transport</t>
  </si>
  <si>
    <t>La punctele de ieșire din rețelele de distribuție de presiune înaltă</t>
  </si>
  <si>
    <t>La punctele de ieșire din rețelele de distribuție de presiune medie</t>
  </si>
  <si>
    <t>La punctele de ieșire din rețelele de distribuție de presiune joasă</t>
  </si>
  <si>
    <t>total</t>
  </si>
  <si>
    <r>
      <t>lei/ 1000m</t>
    </r>
    <r>
      <rPr>
        <b/>
        <vertAlign val="superscript"/>
        <sz val="16"/>
        <rFont val="Times New Roman"/>
        <family val="1"/>
        <charset val="204"/>
      </rPr>
      <t>3</t>
    </r>
  </si>
  <si>
    <t>I.</t>
  </si>
  <si>
    <r>
      <t>mil. m</t>
    </r>
    <r>
      <rPr>
        <b/>
        <vertAlign val="superscript"/>
        <sz val="16"/>
        <rFont val="Times New Roman"/>
        <family val="1"/>
        <charset val="204"/>
      </rPr>
      <t>3</t>
    </r>
  </si>
  <si>
    <t>Volumul gazelor naturale furnizate de furnizor in toate punctele de furnizare</t>
  </si>
  <si>
    <t>Volumul de gaze naturale furnizate in punctele de intrare din retelele de transport al gazelor naturale</t>
  </si>
  <si>
    <r>
      <t>VG</t>
    </r>
    <r>
      <rPr>
        <b/>
        <vertAlign val="subscript"/>
        <sz val="16"/>
        <rFont val="Times New Roman"/>
        <family val="1"/>
      </rPr>
      <t>n</t>
    </r>
    <r>
      <rPr>
        <b/>
        <vertAlign val="superscript"/>
        <sz val="16"/>
        <rFont val="Times New Roman"/>
        <family val="1"/>
      </rPr>
      <t>ÎT</t>
    </r>
  </si>
  <si>
    <t>3.1</t>
  </si>
  <si>
    <t>Consumul tehnologic si pierderile tehnice de gaze naturale in retelele de transport</t>
  </si>
  <si>
    <r>
      <t>mil. m</t>
    </r>
    <r>
      <rPr>
        <vertAlign val="superscript"/>
        <sz val="16"/>
        <rFont val="Times New Roman"/>
        <family val="1"/>
        <charset val="204"/>
      </rPr>
      <t>3</t>
    </r>
  </si>
  <si>
    <t>3.2</t>
  </si>
  <si>
    <t>Consumul pentru echilibrarea gazelor in sistemul de transport</t>
  </si>
  <si>
    <t>Volumul de gaze naturale furnizate in punctele de iesire din retelele de transport al gazelor naturale</t>
  </si>
  <si>
    <r>
      <t>VG</t>
    </r>
    <r>
      <rPr>
        <b/>
        <vertAlign val="subscript"/>
        <sz val="16"/>
        <rFont val="Times New Roman"/>
        <family val="1"/>
      </rPr>
      <t>n</t>
    </r>
    <r>
      <rPr>
        <b/>
        <vertAlign val="superscript"/>
        <sz val="16"/>
        <rFont val="Times New Roman"/>
        <family val="1"/>
      </rPr>
      <t>ET</t>
    </r>
  </si>
  <si>
    <t>inclusiv:</t>
  </si>
  <si>
    <t>5.1</t>
  </si>
  <si>
    <t xml:space="preserve">Consumul tehnologic si pierderile tehnice de gaze naturale in retelele de distributie  </t>
  </si>
  <si>
    <t>5.2</t>
  </si>
  <si>
    <t>Consum propriu</t>
  </si>
  <si>
    <t>5.3</t>
  </si>
  <si>
    <t xml:space="preserve">Volumul de gaze naturale livrat consumatorilor </t>
  </si>
  <si>
    <t>Volumul gazelor naturale furnizate de furnizor in punctele de iesire din retelele de distributie a gazelor naturale</t>
  </si>
  <si>
    <r>
      <t>VG</t>
    </r>
    <r>
      <rPr>
        <b/>
        <vertAlign val="subscript"/>
        <sz val="16"/>
        <rFont val="Times New Roman"/>
        <family val="1"/>
      </rPr>
      <t>n</t>
    </r>
    <r>
      <rPr>
        <b/>
        <vertAlign val="superscript"/>
        <sz val="16"/>
        <rFont val="Times New Roman"/>
        <family val="1"/>
        <charset val="204"/>
      </rPr>
      <t>ÎD+MD+JD</t>
    </r>
  </si>
  <si>
    <t>2.1</t>
  </si>
  <si>
    <t>de presiune inalta</t>
  </si>
  <si>
    <r>
      <t>VG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ÎD</t>
    </r>
  </si>
  <si>
    <t>2.2</t>
  </si>
  <si>
    <t>de presiune medie</t>
  </si>
  <si>
    <r>
      <t>VG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MD</t>
    </r>
  </si>
  <si>
    <t>2.3</t>
  </si>
  <si>
    <t xml:space="preserve">de presiune joasa </t>
  </si>
  <si>
    <r>
      <t>VG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JD</t>
    </r>
  </si>
  <si>
    <t>Cursul de schimb al valutei naţionale faţă de EUR</t>
  </si>
  <si>
    <t>CVn</t>
  </si>
  <si>
    <t>lei/EUR</t>
  </si>
  <si>
    <t>Pretul mediu ponderat de procurare a gazelor naturale</t>
  </si>
  <si>
    <t>PGn</t>
  </si>
  <si>
    <r>
      <t>EUR/1000m</t>
    </r>
    <r>
      <rPr>
        <sz val="16"/>
        <rFont val="Times New Roman"/>
        <family val="1"/>
      </rPr>
      <t>³</t>
    </r>
  </si>
  <si>
    <r>
      <t>lei/1000m</t>
    </r>
    <r>
      <rPr>
        <sz val="16"/>
        <rFont val="Times New Roman"/>
        <family val="1"/>
      </rPr>
      <t>³</t>
    </r>
  </si>
  <si>
    <t>Cheltuielile totale de achiziție a gazelor naturale în scopul furnizării la prețuri reglementate</t>
  </si>
  <si>
    <t>CPGn</t>
  </si>
  <si>
    <t>mii EUR</t>
  </si>
  <si>
    <t>mii lei</t>
  </si>
  <si>
    <t>4</t>
  </si>
  <si>
    <t>Costul serviciului de transport al gazelor naturale, achitat de furnizorul de gaze naturale la tarife reglementate operatorului retelei de transport</t>
  </si>
  <si>
    <t>CTn</t>
  </si>
  <si>
    <t>Costul serviciului de distributie al gazelor naturale, achitat de furnizorul de gaze naturale la tarife reglementate operatorului retelei de distributie</t>
  </si>
  <si>
    <r>
      <t>CSD</t>
    </r>
    <r>
      <rPr>
        <b/>
        <vertAlign val="subscript"/>
        <sz val="16"/>
        <rFont val="Times New Roman"/>
        <family val="1"/>
      </rPr>
      <t>n</t>
    </r>
  </si>
  <si>
    <t>inclusiv:  de presiune înalta</t>
  </si>
  <si>
    <r>
      <t>CSD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ÎD</t>
    </r>
  </si>
  <si>
    <t xml:space="preserve">  de presiune medie</t>
  </si>
  <si>
    <r>
      <t>CSD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MD</t>
    </r>
  </si>
  <si>
    <t xml:space="preserve">  de presiune joasa </t>
  </si>
  <si>
    <r>
      <t>CSD</t>
    </r>
    <r>
      <rPr>
        <vertAlign val="subscript"/>
        <sz val="16"/>
        <rFont val="Times New Roman"/>
        <family val="1"/>
      </rPr>
      <t>n</t>
    </r>
    <r>
      <rPr>
        <vertAlign val="superscript"/>
        <sz val="16"/>
        <rFont val="Times New Roman"/>
        <family val="1"/>
      </rPr>
      <t>JD</t>
    </r>
  </si>
  <si>
    <t>Cheltuielile reglementate ale furnizorului legate nemijlocit de prestarea serviciului de furnizare a gazelor naturale</t>
  </si>
  <si>
    <r>
      <t>CF</t>
    </r>
    <r>
      <rPr>
        <b/>
        <vertAlign val="subscript"/>
        <sz val="16"/>
        <rFont val="Times New Roman"/>
        <family val="1"/>
      </rPr>
      <t>n</t>
    </r>
    <r>
      <rPr>
        <b/>
        <vertAlign val="superscript"/>
        <sz val="16"/>
        <rFont val="Times New Roman"/>
        <family val="1"/>
      </rPr>
      <t>Fr</t>
    </r>
  </si>
  <si>
    <t>Сostul serviciului reglementat de furnizare a gazelor naturale, în anul de reglementare „n”, la punctele de furnizare</t>
  </si>
  <si>
    <t>CRn</t>
  </si>
  <si>
    <t xml:space="preserve">Rentabilitatea reglementata a furnizorului de gaze naturale la tarife reglementate </t>
  </si>
  <si>
    <t>RFn</t>
  </si>
  <si>
    <t>Rata de rentabilitate a furnizorului</t>
  </si>
  <si>
    <t>Rrn</t>
  </si>
  <si>
    <t>%</t>
  </si>
  <si>
    <t>II.</t>
  </si>
  <si>
    <t>Venitul reglementat fără componenta de corectare</t>
  </si>
  <si>
    <t>VFn</t>
  </si>
  <si>
    <t>III.</t>
  </si>
  <si>
    <r>
      <t xml:space="preserve">Componenta de corectare a veniturilor reglementate ale furnizorului de gaze naturale la 31 decembrie 2025 </t>
    </r>
    <r>
      <rPr>
        <b/>
        <i/>
        <sz val="16"/>
        <color rgb="FFFF0000"/>
        <rFont val="Times New Roman"/>
        <family val="1"/>
      </rPr>
      <t>(excedent)</t>
    </r>
  </si>
  <si>
    <t>Cn-1</t>
  </si>
  <si>
    <t>IV.</t>
  </si>
  <si>
    <r>
      <t xml:space="preserve">Componenta de corectare perioada curentă                                           (ianuarie-septembrie 2026) </t>
    </r>
    <r>
      <rPr>
        <b/>
        <i/>
        <sz val="16"/>
        <color rgb="FFFF0000"/>
        <rFont val="Times New Roman"/>
        <family val="1"/>
      </rPr>
      <t>deficit</t>
    </r>
  </si>
  <si>
    <t>Cn</t>
  </si>
  <si>
    <t>V.</t>
  </si>
  <si>
    <t xml:space="preserve">Venitul total reglementat necesar de a fi obținut de furnizorul de gaze naturale la prețuri reglementate în perioada octombrie-decembrie 2026                                                                                            </t>
  </si>
  <si>
    <t>Costul de procurare a gazelor naturale pentru anul 2026</t>
  </si>
  <si>
    <t>Perioada</t>
  </si>
  <si>
    <t>Volumul de gaze naturale procurate  (mil.m³)</t>
  </si>
  <si>
    <t>Cantitatea în MWh</t>
  </si>
  <si>
    <t>Puterea calorifică</t>
  </si>
  <si>
    <r>
      <t xml:space="preserve">Prețul procurare </t>
    </r>
    <r>
      <rPr>
        <b/>
        <sz val="12"/>
        <color rgb="FFFF0000"/>
        <rFont val="Times New Roman"/>
        <family val="1"/>
      </rPr>
      <t>Euro</t>
    </r>
    <r>
      <rPr>
        <b/>
        <sz val="12"/>
        <color theme="1"/>
        <rFont val="Times New Roman"/>
        <family val="1"/>
      </rPr>
      <t xml:space="preserve">/1000 m³             </t>
    </r>
  </si>
  <si>
    <t>Costul mii Euro</t>
  </si>
  <si>
    <t>Curs BNM, EUR/MDL</t>
  </si>
  <si>
    <t>Cost mii Lei</t>
  </si>
  <si>
    <t xml:space="preserve">Prețul procurare Euro/MWh           </t>
  </si>
  <si>
    <r>
      <t xml:space="preserve">Prețul mediu de procurare               EUR /1000 m³, </t>
    </r>
    <r>
      <rPr>
        <b/>
        <sz val="12"/>
        <color rgb="FFFF0000"/>
        <rFont val="Times New Roman"/>
        <family val="1"/>
      </rPr>
      <t xml:space="preserve">fără </t>
    </r>
    <r>
      <rPr>
        <b/>
        <sz val="12"/>
        <color theme="1"/>
        <rFont val="Times New Roman"/>
        <family val="1"/>
      </rPr>
      <t>TT intrare</t>
    </r>
  </si>
  <si>
    <t>Cost inclus în tarif                           Lei (18.0445)</t>
  </si>
  <si>
    <t xml:space="preserve">curs efectiv </t>
  </si>
  <si>
    <t>Cost gaze efectiv</t>
  </si>
  <si>
    <t>Diferența</t>
  </si>
  <si>
    <t>ianuarie</t>
  </si>
  <si>
    <t>februarie</t>
  </si>
  <si>
    <t>martie</t>
  </si>
  <si>
    <t>aprilie</t>
  </si>
  <si>
    <t xml:space="preserve">mai </t>
  </si>
  <si>
    <t xml:space="preserve">iunie </t>
  </si>
  <si>
    <t>mii.lei</t>
  </si>
  <si>
    <t>Devieri pozitive</t>
  </si>
  <si>
    <t xml:space="preserve">iulie </t>
  </si>
  <si>
    <t xml:space="preserve">august </t>
  </si>
  <si>
    <t xml:space="preserve">septembrie </t>
  </si>
  <si>
    <t>Valuta</t>
  </si>
  <si>
    <t>aprobat în mai 2024</t>
  </si>
  <si>
    <t>efectiv 2024</t>
  </si>
  <si>
    <t>Total ianuarie-septembrie</t>
  </si>
  <si>
    <t xml:space="preserve">octombrie </t>
  </si>
  <si>
    <t>Preț mediu de procurare gaze</t>
  </si>
  <si>
    <t>lei/1000 m3</t>
  </si>
  <si>
    <t xml:space="preserve">noiembrie </t>
  </si>
  <si>
    <t>EUR/1000 m3</t>
  </si>
  <si>
    <t xml:space="preserve">decembrie </t>
  </si>
  <si>
    <t>USD/1000 m3</t>
  </si>
  <si>
    <t>Total octombrie-decembrie</t>
  </si>
  <si>
    <t xml:space="preserve">Costul total </t>
  </si>
  <si>
    <t>Total 2026</t>
  </si>
  <si>
    <t>ian-aprilie</t>
  </si>
  <si>
    <t>mai-decembrie</t>
  </si>
  <si>
    <t>inclus în tariful în vigoare</t>
  </si>
  <si>
    <t>Ian- aprilie</t>
  </si>
  <si>
    <t>Actualizarea venitului reglementat ianuarie-septembrie 2026</t>
  </si>
  <si>
    <r>
      <t xml:space="preserve">Componenta de corectare a veniturilor reglementate ale furnizorului de gaze naturale la 31 decembrie 2025 </t>
    </r>
    <r>
      <rPr>
        <b/>
        <i/>
        <sz val="16"/>
        <color rgb="FFFF0000"/>
        <rFont val="Times New Roman"/>
        <family val="1"/>
      </rPr>
      <t xml:space="preserve">(excedent) </t>
    </r>
    <r>
      <rPr>
        <i/>
        <sz val="16"/>
        <rFont val="Times New Roman"/>
        <family val="1"/>
      </rPr>
      <t>pentru recuperare în perioada ianuarie-septembrie 2026</t>
    </r>
  </si>
  <si>
    <t>Venitul total reglementat actualizat care urma a fi obtinut de furnizorul de gaze naturale la prețuri reglementate ianuarie -septembrie 2026, conform cheltuielilor efective eligibile</t>
  </si>
  <si>
    <t>Venitul efectiv obținut de furnizorul de gaze naturale la prețuri reglementate ianuarie -septembrie 2026</t>
  </si>
  <si>
    <t>VI.</t>
  </si>
  <si>
    <r>
      <t xml:space="preserve">Componenta de corectare acumulată în perioada ianuarie -septembrie 2026 </t>
    </r>
    <r>
      <rPr>
        <b/>
        <sz val="16"/>
        <color rgb="FFFF0000"/>
        <rFont val="Times New Roman"/>
        <family val="1"/>
      </rPr>
      <t>(deficit)</t>
    </r>
  </si>
  <si>
    <t>inclusiv:      de presiune înalta</t>
  </si>
  <si>
    <r>
      <t>Actualizarea prețurilor reglementate pentru furnizare a gazelor naturale de către S.A. ,,Energocom” pentru ianuarie - septembrie 2026</t>
    </r>
    <r>
      <rPr>
        <b/>
        <sz val="18"/>
        <color rgb="FFFF0000"/>
        <rFont val="Calibri"/>
        <family val="2"/>
        <scheme val="minor"/>
      </rPr>
      <t xml:space="preserve"> (Calculul de determinare a devierilor)</t>
    </r>
  </si>
  <si>
    <t>3.3</t>
  </si>
  <si>
    <t>5</t>
  </si>
  <si>
    <t xml:space="preserve">Calculul prețurilor reglementate pentru furnizarea gazelor naturale de către S.A. ,,Energocom”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</si>
</sst>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0.0"/>
    <numFmt numFmtId="166" formatCode="_-* #,##0.00\ _₽_-;\-* #,##0.00\ _₽_-;_-* &quot;-&quot;??\ _₽_-;_-@_-"/>
    <numFmt numFmtId="167" formatCode="_-* #,##0.00\ _L_-;\-* #,##0.00\ _L_-;_-* &quot;-&quot;??\ _L_-;_-@_-"/>
    <numFmt numFmtId="168" formatCode="_-* #,##0.00\ _₽_-;\-* #,##0.00\ _₽_-;_-* &quot;-&quot;???\ _₽_-;_-@_-"/>
    <numFmt numFmtId="169" formatCode="#,##0.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perscript"/>
      <sz val="16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vertAlign val="subscript"/>
      <sz val="16"/>
      <name val="Times New Roman"/>
      <family val="1"/>
    </font>
    <font>
      <b/>
      <sz val="16"/>
      <color theme="1"/>
      <name val="Times New Roman"/>
      <family val="1"/>
      <charset val="204"/>
    </font>
    <font>
      <b/>
      <vertAlign val="superscript"/>
      <sz val="16"/>
      <name val="Times New Roman"/>
      <family val="1"/>
    </font>
    <font>
      <sz val="16"/>
      <name val="Times New Roman"/>
      <family val="1"/>
    </font>
    <font>
      <vertAlign val="superscript"/>
      <sz val="16"/>
      <name val="Times New Roman"/>
      <family val="1"/>
      <charset val="204"/>
    </font>
    <font>
      <sz val="16"/>
      <color theme="1"/>
      <name val="Times New Roman"/>
      <family val="1"/>
    </font>
    <font>
      <b/>
      <sz val="11"/>
      <color indexed="8"/>
      <name val="Calibri"/>
      <family val="2"/>
      <charset val="204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vertAlign val="subscript"/>
      <sz val="16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i/>
      <sz val="16"/>
      <name val="Times New Roman"/>
      <family val="1"/>
    </font>
    <font>
      <i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 Cyr"/>
      <charset val="204"/>
    </font>
    <font>
      <b/>
      <i/>
      <sz val="16"/>
      <color rgb="FFFF0000"/>
      <name val="Times New Roman"/>
      <family val="1"/>
    </font>
    <font>
      <sz val="11"/>
      <name val="Calibri"/>
      <family val="2"/>
      <charset val="204"/>
      <scheme val="minor"/>
    </font>
    <font>
      <b/>
      <sz val="18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5" fillId="0" borderId="0" applyNumberFormat="0" applyFill="0" applyBorder="0" applyAlignment="0" applyProtection="0"/>
    <xf numFmtId="0" fontId="6" fillId="0" borderId="0"/>
    <xf numFmtId="0" fontId="2" fillId="0" borderId="0"/>
    <xf numFmtId="0" fontId="25" fillId="0" borderId="0"/>
    <xf numFmtId="0" fontId="31" fillId="0" borderId="0"/>
    <xf numFmtId="43" fontId="31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2"/>
    <xf numFmtId="3" fontId="4" fillId="0" borderId="11" xfId="2" applyNumberFormat="1" applyFont="1" applyBorder="1" applyAlignment="1">
      <alignment horizontal="center" vertical="center" wrapText="1"/>
    </xf>
    <xf numFmtId="3" fontId="4" fillId="0" borderId="12" xfId="2" applyNumberFormat="1" applyFont="1" applyBorder="1" applyAlignment="1">
      <alignment horizontal="center" vertical="center" wrapText="1"/>
    </xf>
    <xf numFmtId="3" fontId="4" fillId="0" borderId="8" xfId="2" applyNumberFormat="1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3" fontId="4" fillId="0" borderId="16" xfId="2" applyNumberFormat="1" applyFont="1" applyBorder="1" applyAlignment="1">
      <alignment horizontal="center" vertical="center"/>
    </xf>
    <xf numFmtId="164" fontId="4" fillId="0" borderId="17" xfId="3" applyNumberFormat="1" applyFont="1" applyBorder="1" applyAlignment="1">
      <alignment horizontal="center" vertical="center"/>
    </xf>
    <xf numFmtId="3" fontId="4" fillId="0" borderId="18" xfId="2" applyNumberFormat="1" applyFont="1" applyBorder="1" applyAlignment="1">
      <alignment horizontal="center" vertical="center" wrapText="1"/>
    </xf>
    <xf numFmtId="165" fontId="4" fillId="0" borderId="14" xfId="3" applyNumberFormat="1" applyFont="1" applyBorder="1" applyAlignment="1">
      <alignment horizontal="center" vertical="center"/>
    </xf>
    <xf numFmtId="164" fontId="4" fillId="0" borderId="18" xfId="2" applyNumberFormat="1" applyFont="1" applyBorder="1" applyAlignment="1">
      <alignment horizontal="center" vertical="center" wrapText="1"/>
    </xf>
    <xf numFmtId="165" fontId="4" fillId="0" borderId="17" xfId="3" applyNumberFormat="1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/>
    </xf>
    <xf numFmtId="165" fontId="8" fillId="0" borderId="20" xfId="2" applyNumberFormat="1" applyFont="1" applyBorder="1" applyAlignment="1">
      <alignment horizontal="center" vertical="center"/>
    </xf>
    <xf numFmtId="165" fontId="8" fillId="0" borderId="22" xfId="2" applyNumberFormat="1" applyFont="1" applyBorder="1" applyAlignment="1">
      <alignment horizontal="center" vertical="center"/>
    </xf>
    <xf numFmtId="165" fontId="8" fillId="0" borderId="21" xfId="2" applyNumberFormat="1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4" fillId="0" borderId="20" xfId="2" applyFont="1" applyBorder="1" applyAlignment="1">
      <alignment vertical="center" wrapText="1"/>
    </xf>
    <xf numFmtId="165" fontId="10" fillId="0" borderId="20" xfId="2" applyNumberFormat="1" applyFont="1" applyBorder="1" applyAlignment="1">
      <alignment horizontal="center" vertical="center"/>
    </xf>
    <xf numFmtId="165" fontId="10" fillId="0" borderId="21" xfId="2" applyNumberFormat="1" applyFont="1" applyBorder="1" applyAlignment="1">
      <alignment horizontal="center" vertical="center"/>
    </xf>
    <xf numFmtId="0" fontId="4" fillId="0" borderId="20" xfId="2" applyFont="1" applyBorder="1" applyAlignment="1">
      <alignment horizontal="left" vertical="center" wrapText="1"/>
    </xf>
    <xf numFmtId="0" fontId="4" fillId="0" borderId="24" xfId="2" applyFont="1" applyBorder="1" applyAlignment="1">
      <alignment horizontal="center" vertical="center" wrapText="1"/>
    </xf>
    <xf numFmtId="2" fontId="4" fillId="0" borderId="21" xfId="2" applyNumberFormat="1" applyFont="1" applyBorder="1" applyAlignment="1">
      <alignment horizontal="center" vertical="center"/>
    </xf>
    <xf numFmtId="1" fontId="10" fillId="0" borderId="21" xfId="2" applyNumberFormat="1" applyFont="1" applyBorder="1" applyAlignment="1">
      <alignment horizontal="center" vertical="center"/>
    </xf>
    <xf numFmtId="1" fontId="8" fillId="0" borderId="22" xfId="2" applyNumberFormat="1" applyFont="1" applyBorder="1" applyAlignment="1">
      <alignment horizontal="center" vertical="center"/>
    </xf>
    <xf numFmtId="49" fontId="12" fillId="0" borderId="19" xfId="2" applyNumberFormat="1" applyFont="1" applyBorder="1" applyAlignment="1">
      <alignment horizontal="center" vertical="center" wrapText="1"/>
    </xf>
    <xf numFmtId="0" fontId="12" fillId="0" borderId="14" xfId="2" applyFont="1" applyBorder="1" applyAlignment="1">
      <alignment vertical="center" wrapText="1"/>
    </xf>
    <xf numFmtId="0" fontId="2" fillId="0" borderId="24" xfId="2" applyBorder="1"/>
    <xf numFmtId="3" fontId="7" fillId="0" borderId="25" xfId="2" applyNumberFormat="1" applyFont="1" applyBorder="1" applyAlignment="1">
      <alignment horizontal="center" vertical="center"/>
    </xf>
    <xf numFmtId="2" fontId="12" fillId="0" borderId="21" xfId="2" applyNumberFormat="1" applyFont="1" applyBorder="1" applyAlignment="1">
      <alignment horizontal="center" vertical="center"/>
    </xf>
    <xf numFmtId="165" fontId="14" fillId="0" borderId="20" xfId="2" applyNumberFormat="1" applyFont="1" applyBorder="1" applyAlignment="1">
      <alignment horizontal="center" vertical="center"/>
    </xf>
    <xf numFmtId="0" fontId="12" fillId="0" borderId="20" xfId="2" applyFont="1" applyBorder="1" applyAlignment="1">
      <alignment vertical="center" wrapText="1"/>
    </xf>
    <xf numFmtId="165" fontId="7" fillId="0" borderId="21" xfId="2" applyNumberFormat="1" applyFont="1" applyBorder="1" applyAlignment="1">
      <alignment horizontal="center" vertical="center"/>
    </xf>
    <xf numFmtId="1" fontId="8" fillId="0" borderId="21" xfId="2" applyNumberFormat="1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164" fontId="8" fillId="0" borderId="20" xfId="2" applyNumberFormat="1" applyFont="1" applyBorder="1" applyAlignment="1">
      <alignment horizontal="center" vertical="center"/>
    </xf>
    <xf numFmtId="165" fontId="16" fillId="0" borderId="21" xfId="2" applyNumberFormat="1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 wrapText="1"/>
    </xf>
    <xf numFmtId="0" fontId="2" fillId="0" borderId="26" xfId="2" applyBorder="1"/>
    <xf numFmtId="49" fontId="7" fillId="0" borderId="19" xfId="2" applyNumberFormat="1" applyFont="1" applyBorder="1" applyAlignment="1">
      <alignment horizontal="center" vertical="center" wrapText="1"/>
    </xf>
    <xf numFmtId="2" fontId="7" fillId="0" borderId="21" xfId="2" applyNumberFormat="1" applyFont="1" applyBorder="1" applyAlignment="1">
      <alignment horizontal="center" vertical="center"/>
    </xf>
    <xf numFmtId="164" fontId="7" fillId="0" borderId="21" xfId="2" applyNumberFormat="1" applyFont="1" applyBorder="1" applyAlignment="1">
      <alignment horizontal="center" vertical="center"/>
    </xf>
    <xf numFmtId="164" fontId="7" fillId="0" borderId="22" xfId="2" applyNumberFormat="1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4" xfId="2" applyFont="1" applyBorder="1" applyAlignment="1">
      <alignment horizontal="right" vertical="center" wrapText="1"/>
    </xf>
    <xf numFmtId="0" fontId="4" fillId="0" borderId="25" xfId="2" applyFont="1" applyBorder="1" applyAlignment="1">
      <alignment horizontal="center" vertical="center"/>
    </xf>
    <xf numFmtId="164" fontId="4" fillId="0" borderId="21" xfId="2" applyNumberFormat="1" applyFont="1" applyBorder="1" applyAlignment="1">
      <alignment horizontal="center" vertical="center"/>
    </xf>
    <xf numFmtId="1" fontId="4" fillId="0" borderId="22" xfId="2" applyNumberFormat="1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165" fontId="10" fillId="0" borderId="22" xfId="2" applyNumberFormat="1" applyFont="1" applyBorder="1" applyAlignment="1">
      <alignment horizontal="center" vertical="center"/>
    </xf>
    <xf numFmtId="0" fontId="17" fillId="0" borderId="0" xfId="2" applyFont="1"/>
    <xf numFmtId="49" fontId="7" fillId="0" borderId="19" xfId="2" applyNumberFormat="1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 wrapText="1" indent="3"/>
    </xf>
    <xf numFmtId="0" fontId="12" fillId="0" borderId="24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/>
    </xf>
    <xf numFmtId="1" fontId="7" fillId="0" borderId="22" xfId="2" applyNumberFormat="1" applyFont="1" applyBorder="1" applyAlignment="1">
      <alignment horizontal="center" vertical="center"/>
    </xf>
    <xf numFmtId="0" fontId="2" fillId="2" borderId="0" xfId="2" applyFill="1"/>
    <xf numFmtId="0" fontId="7" fillId="0" borderId="20" xfId="2" applyFont="1" applyBorder="1" applyAlignment="1">
      <alignment vertical="center" wrapText="1"/>
    </xf>
    <xf numFmtId="2" fontId="21" fillId="0" borderId="21" xfId="2" applyNumberFormat="1" applyFont="1" applyBorder="1" applyAlignment="1">
      <alignment horizontal="center" vertical="center"/>
    </xf>
    <xf numFmtId="164" fontId="8" fillId="0" borderId="22" xfId="2" applyNumberFormat="1" applyFont="1" applyBorder="1" applyAlignment="1">
      <alignment horizontal="center" vertical="center"/>
    </xf>
    <xf numFmtId="164" fontId="8" fillId="0" borderId="21" xfId="2" applyNumberFormat="1" applyFont="1" applyBorder="1" applyAlignment="1">
      <alignment horizontal="center" vertical="center"/>
    </xf>
    <xf numFmtId="3" fontId="22" fillId="0" borderId="25" xfId="2" applyNumberFormat="1" applyFont="1" applyBorder="1" applyAlignment="1">
      <alignment horizontal="center" vertical="center"/>
    </xf>
    <xf numFmtId="2" fontId="23" fillId="0" borderId="23" xfId="2" applyNumberFormat="1" applyFont="1" applyBorder="1" applyAlignment="1">
      <alignment horizontal="center" vertical="center"/>
    </xf>
    <xf numFmtId="1" fontId="24" fillId="0" borderId="20" xfId="2" applyNumberFormat="1" applyFont="1" applyBorder="1" applyAlignment="1">
      <alignment horizontal="center" vertical="center"/>
    </xf>
    <xf numFmtId="2" fontId="24" fillId="0" borderId="22" xfId="2" applyNumberFormat="1" applyFont="1" applyBorder="1" applyAlignment="1">
      <alignment horizontal="center" vertical="center"/>
    </xf>
    <xf numFmtId="2" fontId="24" fillId="0" borderId="21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1" fontId="8" fillId="0" borderId="20" xfId="2" applyNumberFormat="1" applyFont="1" applyBorder="1" applyAlignment="1">
      <alignment horizontal="center" vertical="center"/>
    </xf>
    <xf numFmtId="2" fontId="8" fillId="0" borderId="22" xfId="2" applyNumberFormat="1" applyFont="1" applyBorder="1" applyAlignment="1">
      <alignment horizontal="center" vertical="center"/>
    </xf>
    <xf numFmtId="3" fontId="20" fillId="0" borderId="25" xfId="2" applyNumberFormat="1" applyFont="1" applyBorder="1" applyAlignment="1">
      <alignment horizontal="center" vertical="center"/>
    </xf>
    <xf numFmtId="3" fontId="4" fillId="0" borderId="17" xfId="5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1" fontId="4" fillId="0" borderId="14" xfId="5" applyNumberFormat="1" applyFont="1" applyBorder="1" applyAlignment="1">
      <alignment horizontal="center" vertical="center"/>
    </xf>
    <xf numFmtId="1" fontId="4" fillId="0" borderId="17" xfId="5" applyNumberFormat="1" applyFont="1" applyBorder="1" applyAlignment="1">
      <alignment horizontal="center" vertical="center"/>
    </xf>
    <xf numFmtId="3" fontId="4" fillId="3" borderId="21" xfId="2" applyNumberFormat="1" applyFont="1" applyFill="1" applyBorder="1" applyAlignment="1">
      <alignment horizontal="center" vertical="center"/>
    </xf>
    <xf numFmtId="3" fontId="4" fillId="0" borderId="22" xfId="2" applyNumberFormat="1" applyFont="1" applyBorder="1" applyAlignment="1">
      <alignment horizontal="center" vertical="center"/>
    </xf>
    <xf numFmtId="3" fontId="16" fillId="0" borderId="20" xfId="2" applyNumberFormat="1" applyFont="1" applyBorder="1" applyAlignment="1">
      <alignment horizontal="center" vertical="center"/>
    </xf>
    <xf numFmtId="3" fontId="8" fillId="0" borderId="22" xfId="2" applyNumberFormat="1" applyFont="1" applyBorder="1" applyAlignment="1">
      <alignment horizontal="center" vertical="center"/>
    </xf>
    <xf numFmtId="3" fontId="16" fillId="0" borderId="21" xfId="2" applyNumberFormat="1" applyFont="1" applyBorder="1" applyAlignment="1">
      <alignment horizontal="center" vertical="center"/>
    </xf>
    <xf numFmtId="49" fontId="20" fillId="0" borderId="19" xfId="2" applyNumberFormat="1" applyFont="1" applyBorder="1" applyAlignment="1">
      <alignment horizontal="center" vertical="center"/>
    </xf>
    <xf numFmtId="0" fontId="20" fillId="0" borderId="20" xfId="2" applyFont="1" applyBorder="1" applyAlignment="1">
      <alignment vertical="center" wrapText="1"/>
    </xf>
    <xf numFmtId="0" fontId="20" fillId="0" borderId="24" xfId="2" applyFont="1" applyBorder="1" applyAlignment="1">
      <alignment horizontal="center" vertical="center"/>
    </xf>
    <xf numFmtId="3" fontId="20" fillId="0" borderId="20" xfId="2" applyNumberFormat="1" applyFont="1" applyBorder="1" applyAlignment="1">
      <alignment horizontal="center" vertical="center"/>
    </xf>
    <xf numFmtId="3" fontId="20" fillId="0" borderId="22" xfId="2" applyNumberFormat="1" applyFont="1" applyBorder="1" applyAlignment="1">
      <alignment horizontal="center" vertical="center"/>
    </xf>
    <xf numFmtId="3" fontId="20" fillId="0" borderId="21" xfId="2" applyNumberFormat="1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 wrapText="1"/>
    </xf>
    <xf numFmtId="3" fontId="20" fillId="3" borderId="21" xfId="2" applyNumberFormat="1" applyFont="1" applyFill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20" xfId="2" applyFont="1" applyBorder="1" applyAlignment="1">
      <alignment horizontal="left" vertical="center" wrapText="1"/>
    </xf>
    <xf numFmtId="0" fontId="12" fillId="0" borderId="24" xfId="2" applyFont="1" applyBorder="1" applyAlignment="1">
      <alignment horizontal="center" vertical="center"/>
    </xf>
    <xf numFmtId="3" fontId="12" fillId="0" borderId="25" xfId="2" applyNumberFormat="1" applyFont="1" applyBorder="1" applyAlignment="1">
      <alignment horizontal="center" vertical="center"/>
    </xf>
    <xf numFmtId="3" fontId="12" fillId="0" borderId="21" xfId="6" applyNumberFormat="1" applyFont="1" applyBorder="1" applyAlignment="1">
      <alignment horizontal="center" vertical="center"/>
    </xf>
    <xf numFmtId="3" fontId="12" fillId="0" borderId="22" xfId="6" applyNumberFormat="1" applyFont="1" applyBorder="1" applyAlignment="1">
      <alignment horizontal="center" vertical="center"/>
    </xf>
    <xf numFmtId="3" fontId="12" fillId="0" borderId="20" xfId="6" applyNumberFormat="1" applyFont="1" applyBorder="1" applyAlignment="1">
      <alignment horizontal="center" vertical="center"/>
    </xf>
    <xf numFmtId="0" fontId="12" fillId="0" borderId="20" xfId="2" applyFont="1" applyBorder="1" applyAlignment="1">
      <alignment horizontal="left" vertical="center" wrapText="1" indent="9"/>
    </xf>
    <xf numFmtId="0" fontId="20" fillId="0" borderId="19" xfId="2" applyFont="1" applyBorder="1" applyAlignment="1">
      <alignment horizontal="center" vertical="center"/>
    </xf>
    <xf numFmtId="3" fontId="16" fillId="0" borderId="22" xfId="2" applyNumberFormat="1" applyFont="1" applyBorder="1" applyAlignment="1">
      <alignment horizontal="center" vertical="center"/>
    </xf>
    <xf numFmtId="3" fontId="16" fillId="0" borderId="29" xfId="2" applyNumberFormat="1" applyFont="1" applyBorder="1" applyAlignment="1">
      <alignment horizontal="center" vertical="center"/>
    </xf>
    <xf numFmtId="3" fontId="10" fillId="0" borderId="21" xfId="2" applyNumberFormat="1" applyFont="1" applyBorder="1" applyAlignment="1">
      <alignment horizontal="center" vertical="center"/>
    </xf>
    <xf numFmtId="3" fontId="10" fillId="0" borderId="22" xfId="2" applyNumberFormat="1" applyFont="1" applyBorder="1" applyAlignment="1">
      <alignment horizontal="center" vertical="center"/>
    </xf>
    <xf numFmtId="3" fontId="10" fillId="0" borderId="20" xfId="2" applyNumberFormat="1" applyFont="1" applyBorder="1" applyAlignment="1">
      <alignment horizontal="center" vertical="center"/>
    </xf>
    <xf numFmtId="3" fontId="10" fillId="3" borderId="21" xfId="2" applyNumberFormat="1" applyFont="1" applyFill="1" applyBorder="1" applyAlignment="1">
      <alignment horizontal="center" vertical="center"/>
    </xf>
    <xf numFmtId="3" fontId="8" fillId="0" borderId="20" xfId="2" applyNumberFormat="1" applyFont="1" applyBorder="1" applyAlignment="1">
      <alignment horizontal="center" vertical="center"/>
    </xf>
    <xf numFmtId="3" fontId="8" fillId="0" borderId="21" xfId="2" applyNumberFormat="1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30" xfId="7" applyFont="1" applyBorder="1" applyAlignment="1">
      <alignment horizontal="left" vertical="center" wrapText="1"/>
    </xf>
    <xf numFmtId="0" fontId="7" fillId="0" borderId="31" xfId="7" applyFont="1" applyBorder="1" applyAlignment="1">
      <alignment horizontal="center" vertical="center"/>
    </xf>
    <xf numFmtId="3" fontId="7" fillId="0" borderId="32" xfId="2" applyNumberFormat="1" applyFont="1" applyBorder="1" applyAlignment="1">
      <alignment horizontal="center" vertical="center"/>
    </xf>
    <xf numFmtId="4" fontId="21" fillId="0" borderId="21" xfId="2" applyNumberFormat="1" applyFont="1" applyBorder="1" applyAlignment="1">
      <alignment horizontal="center" vertical="center"/>
    </xf>
    <xf numFmtId="3" fontId="7" fillId="0" borderId="20" xfId="2" applyNumberFormat="1" applyFont="1" applyBorder="1" applyAlignment="1">
      <alignment horizontal="center" vertical="center"/>
    </xf>
    <xf numFmtId="0" fontId="4" fillId="3" borderId="33" xfId="2" applyFont="1" applyFill="1" applyBorder="1" applyAlignment="1">
      <alignment horizontal="center" vertical="center"/>
    </xf>
    <xf numFmtId="0" fontId="4" fillId="3" borderId="34" xfId="2" applyFont="1" applyFill="1" applyBorder="1" applyAlignment="1">
      <alignment vertical="center" wrapText="1"/>
    </xf>
    <xf numFmtId="0" fontId="4" fillId="3" borderId="35" xfId="2" applyFont="1" applyFill="1" applyBorder="1" applyAlignment="1">
      <alignment horizontal="center" vertical="center"/>
    </xf>
    <xf numFmtId="3" fontId="4" fillId="3" borderId="36" xfId="2" applyNumberFormat="1" applyFont="1" applyFill="1" applyBorder="1" applyAlignment="1">
      <alignment horizontal="center" vertical="center"/>
    </xf>
    <xf numFmtId="3" fontId="10" fillId="3" borderId="37" xfId="2" applyNumberFormat="1" applyFont="1" applyFill="1" applyBorder="1" applyAlignment="1">
      <alignment horizontal="center" vertical="center"/>
    </xf>
    <xf numFmtId="3" fontId="10" fillId="3" borderId="38" xfId="2" applyNumberFormat="1" applyFont="1" applyFill="1" applyBorder="1" applyAlignment="1">
      <alignment horizontal="center" vertical="center"/>
    </xf>
    <xf numFmtId="3" fontId="10" fillId="3" borderId="34" xfId="2" applyNumberFormat="1" applyFont="1" applyFill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0" fillId="0" borderId="2" xfId="2" applyFont="1" applyBorder="1" applyAlignment="1">
      <alignment vertical="center" wrapText="1"/>
    </xf>
    <xf numFmtId="0" fontId="20" fillId="0" borderId="3" xfId="2" applyFont="1" applyBorder="1" applyAlignment="1">
      <alignment horizontal="center" vertical="center"/>
    </xf>
    <xf numFmtId="3" fontId="12" fillId="0" borderId="4" xfId="2" applyNumberFormat="1" applyFont="1" applyBorder="1" applyAlignment="1">
      <alignment horizontal="center" vertical="center"/>
    </xf>
    <xf numFmtId="3" fontId="12" fillId="0" borderId="5" xfId="2" applyNumberFormat="1" applyFont="1" applyBorder="1" applyAlignment="1">
      <alignment horizontal="center" vertical="center"/>
    </xf>
    <xf numFmtId="3" fontId="12" fillId="0" borderId="6" xfId="2" applyNumberFormat="1" applyFont="1" applyBorder="1" applyAlignment="1">
      <alignment horizontal="center" vertical="center"/>
    </xf>
    <xf numFmtId="3" fontId="14" fillId="0" borderId="2" xfId="2" applyNumberFormat="1" applyFont="1" applyBorder="1" applyAlignment="1">
      <alignment horizontal="center" vertical="center"/>
    </xf>
    <xf numFmtId="3" fontId="14" fillId="0" borderId="6" xfId="2" applyNumberFormat="1" applyFont="1" applyBorder="1" applyAlignment="1">
      <alignment horizontal="center" vertical="center"/>
    </xf>
    <xf numFmtId="3" fontId="14" fillId="0" borderId="5" xfId="2" applyNumberFormat="1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20" fillId="0" borderId="39" xfId="2" applyFont="1" applyBorder="1" applyAlignment="1">
      <alignment horizontal="left" vertical="center" wrapText="1" indent="2"/>
    </xf>
    <xf numFmtId="0" fontId="23" fillId="0" borderId="40" xfId="2" applyFont="1" applyBorder="1" applyAlignment="1">
      <alignment horizontal="center" vertical="center"/>
    </xf>
    <xf numFmtId="3" fontId="12" fillId="0" borderId="41" xfId="2" applyNumberFormat="1" applyFont="1" applyBorder="1" applyAlignment="1">
      <alignment horizontal="center" vertical="center"/>
    </xf>
    <xf numFmtId="3" fontId="12" fillId="0" borderId="42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3" fontId="14" fillId="0" borderId="43" xfId="2" applyNumberFormat="1" applyFont="1" applyBorder="1" applyAlignment="1">
      <alignment horizontal="center" vertical="center"/>
    </xf>
    <xf numFmtId="3" fontId="14" fillId="0" borderId="39" xfId="2" applyNumberFormat="1" applyFont="1" applyBorder="1" applyAlignment="1">
      <alignment horizontal="center" vertical="center"/>
    </xf>
    <xf numFmtId="3" fontId="14" fillId="0" borderId="42" xfId="2" applyNumberFormat="1" applyFont="1" applyBorder="1" applyAlignment="1">
      <alignment horizontal="center" vertical="center"/>
    </xf>
    <xf numFmtId="3" fontId="4" fillId="3" borderId="37" xfId="2" applyNumberFormat="1" applyFont="1" applyFill="1" applyBorder="1" applyAlignment="1" applyProtection="1">
      <alignment horizontal="center" vertical="center"/>
      <protection locked="0"/>
    </xf>
    <xf numFmtId="3" fontId="4" fillId="3" borderId="38" xfId="2" applyNumberFormat="1" applyFont="1" applyFill="1" applyBorder="1" applyAlignment="1" applyProtection="1">
      <alignment horizontal="center" vertical="center"/>
      <protection locked="0"/>
    </xf>
    <xf numFmtId="3" fontId="10" fillId="3" borderId="44" xfId="2" applyNumberFormat="1" applyFont="1" applyFill="1" applyBorder="1" applyAlignment="1" applyProtection="1">
      <alignment horizontal="center" vertical="center"/>
      <protection locked="0"/>
    </xf>
    <xf numFmtId="3" fontId="10" fillId="3" borderId="38" xfId="2" applyNumberFormat="1" applyFont="1" applyFill="1" applyBorder="1" applyAlignment="1" applyProtection="1">
      <alignment horizontal="center" vertical="center"/>
      <protection locked="0"/>
    </xf>
    <xf numFmtId="3" fontId="10" fillId="3" borderId="34" xfId="2" applyNumberFormat="1" applyFont="1" applyFill="1" applyBorder="1" applyAlignment="1" applyProtection="1">
      <alignment horizontal="center" vertical="center"/>
      <protection locked="0"/>
    </xf>
    <xf numFmtId="3" fontId="10" fillId="3" borderId="37" xfId="2" applyNumberFormat="1" applyFont="1" applyFill="1" applyBorder="1" applyAlignment="1" applyProtection="1">
      <alignment horizontal="center" vertical="center"/>
      <protection locked="0"/>
    </xf>
    <xf numFmtId="0" fontId="27" fillId="0" borderId="0" xfId="2" applyFont="1"/>
    <xf numFmtId="3" fontId="14" fillId="0" borderId="14" xfId="2" applyNumberFormat="1" applyFont="1" applyBorder="1" applyAlignment="1">
      <alignment horizontal="center" vertical="center"/>
    </xf>
    <xf numFmtId="0" fontId="33" fillId="0" borderId="0" xfId="8" applyFont="1"/>
    <xf numFmtId="0" fontId="34" fillId="0" borderId="45" xfId="8" applyFont="1" applyBorder="1" applyAlignment="1">
      <alignment horizontal="center" vertical="center"/>
    </xf>
    <xf numFmtId="0" fontId="35" fillId="0" borderId="0" xfId="8" applyFont="1" applyAlignment="1">
      <alignment horizontal="center" wrapText="1"/>
    </xf>
    <xf numFmtId="0" fontId="35" fillId="0" borderId="0" xfId="8" applyFont="1" applyAlignment="1">
      <alignment horizontal="center"/>
    </xf>
    <xf numFmtId="0" fontId="35" fillId="0" borderId="0" xfId="8" applyFont="1"/>
    <xf numFmtId="0" fontId="33" fillId="0" borderId="0" xfId="8" applyFont="1" applyAlignment="1">
      <alignment horizontal="center"/>
    </xf>
    <xf numFmtId="17" fontId="33" fillId="0" borderId="24" xfId="8" applyNumberFormat="1" applyFont="1" applyBorder="1" applyAlignment="1">
      <alignment horizontal="center" vertical="center"/>
    </xf>
    <xf numFmtId="164" fontId="33" fillId="0" borderId="24" xfId="8" applyNumberFormat="1" applyFont="1" applyBorder="1" applyAlignment="1">
      <alignment horizontal="center" vertical="center"/>
    </xf>
    <xf numFmtId="3" fontId="37" fillId="0" borderId="24" xfId="9" applyNumberFormat="1" applyFont="1" applyFill="1" applyBorder="1" applyAlignment="1">
      <alignment horizontal="center" vertical="center"/>
    </xf>
    <xf numFmtId="2" fontId="33" fillId="0" borderId="24" xfId="8" applyNumberFormat="1" applyFont="1" applyBorder="1" applyAlignment="1">
      <alignment horizontal="center" vertical="center"/>
    </xf>
    <xf numFmtId="43" fontId="33" fillId="0" borderId="24" xfId="9" applyFont="1" applyFill="1" applyBorder="1" applyAlignment="1">
      <alignment vertical="center"/>
    </xf>
    <xf numFmtId="43" fontId="33" fillId="0" borderId="24" xfId="9" applyFont="1" applyFill="1" applyBorder="1"/>
    <xf numFmtId="43" fontId="37" fillId="0" borderId="24" xfId="9" applyFont="1" applyFill="1" applyBorder="1" applyAlignment="1">
      <alignment vertical="center"/>
    </xf>
    <xf numFmtId="2" fontId="33" fillId="0" borderId="24" xfId="8" applyNumberFormat="1" applyFont="1" applyBorder="1" applyAlignment="1">
      <alignment vertical="center"/>
    </xf>
    <xf numFmtId="166" fontId="33" fillId="0" borderId="0" xfId="8" applyNumberFormat="1" applyFont="1"/>
    <xf numFmtId="167" fontId="33" fillId="0" borderId="0" xfId="8" applyNumberFormat="1" applyFont="1"/>
    <xf numFmtId="168" fontId="33" fillId="0" borderId="0" xfId="8" applyNumberFormat="1" applyFont="1" applyAlignment="1">
      <alignment horizontal="right"/>
    </xf>
    <xf numFmtId="43" fontId="33" fillId="0" borderId="0" xfId="1" applyFont="1"/>
    <xf numFmtId="2" fontId="33" fillId="0" borderId="0" xfId="8" applyNumberFormat="1" applyFont="1" applyAlignment="1">
      <alignment horizontal="center" vertical="center"/>
    </xf>
    <xf numFmtId="2" fontId="33" fillId="0" borderId="24" xfId="9" applyNumberFormat="1" applyFont="1" applyFill="1" applyBorder="1" applyAlignment="1">
      <alignment horizontal="center" vertical="center"/>
    </xf>
    <xf numFmtId="0" fontId="33" fillId="2" borderId="0" xfId="8" applyFont="1" applyFill="1"/>
    <xf numFmtId="167" fontId="33" fillId="2" borderId="0" xfId="8" applyNumberFormat="1" applyFont="1" applyFill="1"/>
    <xf numFmtId="3" fontId="38" fillId="0" borderId="24" xfId="9" applyNumberFormat="1" applyFont="1" applyFill="1" applyBorder="1" applyAlignment="1">
      <alignment horizontal="center" vertical="center"/>
    </xf>
    <xf numFmtId="0" fontId="33" fillId="0" borderId="0" xfId="8" applyFont="1" applyAlignment="1">
      <alignment vertical="center"/>
    </xf>
    <xf numFmtId="0" fontId="33" fillId="0" borderId="24" xfId="8" applyFont="1" applyBorder="1" applyAlignment="1">
      <alignment vertical="center"/>
    </xf>
    <xf numFmtId="0" fontId="35" fillId="0" borderId="24" xfId="8" applyFont="1" applyBorder="1" applyAlignment="1">
      <alignment horizontal="center" vertical="center"/>
    </xf>
    <xf numFmtId="0" fontId="35" fillId="0" borderId="24" xfId="8" applyFont="1" applyBorder="1" applyAlignment="1">
      <alignment horizontal="center" vertical="center" wrapText="1"/>
    </xf>
    <xf numFmtId="0" fontId="39" fillId="0" borderId="24" xfId="8" applyFont="1" applyBorder="1" applyAlignment="1">
      <alignment horizontal="center" vertical="center"/>
    </xf>
    <xf numFmtId="17" fontId="35" fillId="3" borderId="24" xfId="8" applyNumberFormat="1" applyFont="1" applyFill="1" applyBorder="1" applyAlignment="1">
      <alignment horizontal="center" vertical="center"/>
    </xf>
    <xf numFmtId="164" fontId="35" fillId="3" borderId="24" xfId="8" applyNumberFormat="1" applyFont="1" applyFill="1" applyBorder="1" applyAlignment="1">
      <alignment horizontal="center" vertical="center"/>
    </xf>
    <xf numFmtId="3" fontId="35" fillId="3" borderId="24" xfId="8" applyNumberFormat="1" applyFont="1" applyFill="1" applyBorder="1" applyAlignment="1">
      <alignment horizontal="center" vertical="center"/>
    </xf>
    <xf numFmtId="2" fontId="35" fillId="3" borderId="24" xfId="9" applyNumberFormat="1" applyFont="1" applyFill="1" applyBorder="1" applyAlignment="1">
      <alignment horizontal="center" vertical="center"/>
    </xf>
    <xf numFmtId="4" fontId="34" fillId="3" borderId="24" xfId="8" applyNumberFormat="1" applyFont="1" applyFill="1" applyBorder="1" applyAlignment="1">
      <alignment vertical="center"/>
    </xf>
    <xf numFmtId="43" fontId="35" fillId="3" borderId="24" xfId="9" applyFont="1" applyFill="1" applyBorder="1" applyAlignment="1">
      <alignment vertical="center"/>
    </xf>
    <xf numFmtId="43" fontId="40" fillId="3" borderId="24" xfId="9" applyFont="1" applyFill="1" applyBorder="1" applyAlignment="1">
      <alignment vertical="center"/>
    </xf>
    <xf numFmtId="43" fontId="35" fillId="3" borderId="24" xfId="1" applyFont="1" applyFill="1" applyBorder="1" applyAlignment="1">
      <alignment horizontal="right" vertical="center"/>
    </xf>
    <xf numFmtId="169" fontId="39" fillId="0" borderId="0" xfId="8" applyNumberFormat="1" applyFont="1" applyAlignment="1">
      <alignment wrapText="1"/>
    </xf>
    <xf numFmtId="0" fontId="33" fillId="0" borderId="24" xfId="8" applyFont="1" applyBorder="1" applyAlignment="1">
      <alignment horizontal="right"/>
    </xf>
    <xf numFmtId="3" fontId="33" fillId="0" borderId="24" xfId="8" applyNumberFormat="1" applyFont="1" applyBorder="1"/>
    <xf numFmtId="3" fontId="33" fillId="0" borderId="25" xfId="8" applyNumberFormat="1" applyFont="1" applyBorder="1"/>
    <xf numFmtId="3" fontId="41" fillId="0" borderId="24" xfId="8" applyNumberFormat="1" applyFont="1" applyBorder="1"/>
    <xf numFmtId="4" fontId="33" fillId="0" borderId="0" xfId="8" applyNumberFormat="1" applyFont="1"/>
    <xf numFmtId="0" fontId="33" fillId="0" borderId="24" xfId="8" applyFont="1" applyBorder="1"/>
    <xf numFmtId="17" fontId="34" fillId="3" borderId="24" xfId="8" applyNumberFormat="1" applyFont="1" applyFill="1" applyBorder="1" applyAlignment="1">
      <alignment horizontal="center" vertical="center"/>
    </xf>
    <xf numFmtId="169" fontId="34" fillId="3" borderId="24" xfId="8" applyNumberFormat="1" applyFont="1" applyFill="1" applyBorder="1" applyAlignment="1">
      <alignment horizontal="center" vertical="center"/>
    </xf>
    <xf numFmtId="3" fontId="34" fillId="3" borderId="24" xfId="8" applyNumberFormat="1" applyFont="1" applyFill="1" applyBorder="1" applyAlignment="1">
      <alignment horizontal="center" vertical="center"/>
    </xf>
    <xf numFmtId="43" fontId="37" fillId="3" borderId="24" xfId="9" applyFont="1" applyFill="1" applyBorder="1" applyAlignment="1">
      <alignment vertical="center"/>
    </xf>
    <xf numFmtId="2" fontId="35" fillId="3" borderId="24" xfId="8" applyNumberFormat="1" applyFont="1" applyFill="1" applyBorder="1" applyAlignment="1">
      <alignment vertical="center"/>
    </xf>
    <xf numFmtId="0" fontId="34" fillId="0" borderId="0" xfId="8" applyFont="1"/>
    <xf numFmtId="3" fontId="34" fillId="0" borderId="0" xfId="8" applyNumberFormat="1" applyFont="1" applyAlignment="1">
      <alignment horizontal="center"/>
    </xf>
    <xf numFmtId="3" fontId="42" fillId="0" borderId="0" xfId="8" applyNumberFormat="1" applyFont="1"/>
    <xf numFmtId="0" fontId="34" fillId="0" borderId="24" xfId="8" applyFont="1" applyBorder="1" applyAlignment="1">
      <alignment vertical="center"/>
    </xf>
    <xf numFmtId="0" fontId="34" fillId="0" borderId="24" xfId="8" applyFont="1" applyBorder="1" applyAlignment="1">
      <alignment horizontal="center" vertical="center"/>
    </xf>
    <xf numFmtId="3" fontId="34" fillId="0" borderId="24" xfId="8" applyNumberFormat="1" applyFont="1" applyBorder="1" applyAlignment="1">
      <alignment vertical="center"/>
    </xf>
    <xf numFmtId="3" fontId="41" fillId="0" borderId="24" xfId="8" applyNumberFormat="1" applyFont="1" applyBorder="1" applyAlignment="1">
      <alignment vertical="center"/>
    </xf>
    <xf numFmtId="2" fontId="34" fillId="0" borderId="0" xfId="8" applyNumberFormat="1" applyFont="1"/>
    <xf numFmtId="167" fontId="34" fillId="0" borderId="0" xfId="8" applyNumberFormat="1" applyFont="1"/>
    <xf numFmtId="17" fontId="35" fillId="0" borderId="24" xfId="8" applyNumberFormat="1" applyFont="1" applyBorder="1" applyAlignment="1">
      <alignment horizontal="center" vertical="center"/>
    </xf>
    <xf numFmtId="4" fontId="35" fillId="0" borderId="24" xfId="8" applyNumberFormat="1" applyFont="1" applyBorder="1" applyAlignment="1">
      <alignment horizontal="center" vertical="center"/>
    </xf>
    <xf numFmtId="3" fontId="35" fillId="0" borderId="24" xfId="8" applyNumberFormat="1" applyFont="1" applyBorder="1" applyAlignment="1">
      <alignment horizontal="center" vertical="center"/>
    </xf>
    <xf numFmtId="2" fontId="35" fillId="0" borderId="24" xfId="9" applyNumberFormat="1" applyFont="1" applyFill="1" applyBorder="1" applyAlignment="1">
      <alignment horizontal="center" vertical="center"/>
    </xf>
    <xf numFmtId="4" fontId="35" fillId="0" borderId="24" xfId="8" applyNumberFormat="1" applyFont="1" applyBorder="1" applyAlignment="1">
      <alignment vertical="center"/>
    </xf>
    <xf numFmtId="4" fontId="35" fillId="0" borderId="24" xfId="8" applyNumberFormat="1" applyFont="1" applyBorder="1" applyAlignment="1">
      <alignment horizontal="right" vertical="center"/>
    </xf>
    <xf numFmtId="43" fontId="40" fillId="0" borderId="24" xfId="9" applyFont="1" applyFill="1" applyBorder="1" applyAlignment="1">
      <alignment vertical="center"/>
    </xf>
    <xf numFmtId="2" fontId="35" fillId="0" borderId="24" xfId="8" applyNumberFormat="1" applyFont="1" applyBorder="1" applyAlignment="1">
      <alignment vertical="center"/>
    </xf>
    <xf numFmtId="167" fontId="34" fillId="0" borderId="24" xfId="8" applyNumberFormat="1" applyFont="1" applyBorder="1" applyAlignment="1">
      <alignment vertical="center"/>
    </xf>
    <xf numFmtId="3" fontId="33" fillId="0" borderId="0" xfId="8" applyNumberFormat="1" applyFont="1"/>
    <xf numFmtId="2" fontId="33" fillId="0" borderId="0" xfId="8" applyNumberFormat="1" applyFont="1"/>
    <xf numFmtId="0" fontId="43" fillId="0" borderId="0" xfId="8" applyFont="1"/>
    <xf numFmtId="43" fontId="34" fillId="3" borderId="24" xfId="1" applyFont="1" applyFill="1" applyBorder="1" applyAlignment="1">
      <alignment vertical="center"/>
    </xf>
    <xf numFmtId="0" fontId="20" fillId="0" borderId="13" xfId="2" applyFont="1" applyBorder="1" applyAlignment="1">
      <alignment horizontal="center" vertical="center"/>
    </xf>
    <xf numFmtId="0" fontId="20" fillId="0" borderId="14" xfId="2" applyFont="1" applyBorder="1" applyAlignment="1">
      <alignment vertical="center" wrapText="1"/>
    </xf>
    <xf numFmtId="0" fontId="20" fillId="0" borderId="15" xfId="2" applyFont="1" applyBorder="1" applyAlignment="1">
      <alignment horizontal="center" vertical="center"/>
    </xf>
    <xf numFmtId="3" fontId="20" fillId="0" borderId="16" xfId="2" applyNumberFormat="1" applyFont="1" applyBorder="1" applyAlignment="1">
      <alignment horizontal="center" vertical="center"/>
    </xf>
    <xf numFmtId="0" fontId="4" fillId="4" borderId="33" xfId="2" applyFont="1" applyFill="1" applyBorder="1" applyAlignment="1">
      <alignment horizontal="center" vertical="center"/>
    </xf>
    <xf numFmtId="0" fontId="4" fillId="4" borderId="34" xfId="2" applyFont="1" applyFill="1" applyBorder="1" applyAlignment="1">
      <alignment vertical="center" wrapText="1"/>
    </xf>
    <xf numFmtId="0" fontId="4" fillId="4" borderId="35" xfId="2" applyFont="1" applyFill="1" applyBorder="1" applyAlignment="1">
      <alignment horizontal="center" vertical="center"/>
    </xf>
    <xf numFmtId="3" fontId="4" fillId="4" borderId="36" xfId="2" applyNumberFormat="1" applyFont="1" applyFill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0" fillId="0" borderId="3" xfId="2" applyFont="1" applyBorder="1" applyAlignment="1">
      <alignment horizontal="left" vertical="center" wrapText="1" indent="2"/>
    </xf>
    <xf numFmtId="3" fontId="22" fillId="0" borderId="46" xfId="2" applyNumberFormat="1" applyFont="1" applyBorder="1" applyAlignment="1">
      <alignment horizontal="center" vertical="center"/>
    </xf>
    <xf numFmtId="2" fontId="4" fillId="0" borderId="21" xfId="2" applyNumberFormat="1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20" fillId="3" borderId="9" xfId="2" applyFont="1" applyFill="1" applyBorder="1" applyAlignment="1">
      <alignment horizontal="left" vertical="center" wrapText="1" indent="2"/>
    </xf>
    <xf numFmtId="0" fontId="20" fillId="3" borderId="9" xfId="2" applyFont="1" applyFill="1" applyBorder="1" applyAlignment="1">
      <alignment horizontal="center" vertical="center"/>
    </xf>
    <xf numFmtId="3" fontId="22" fillId="3" borderId="10" xfId="2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 wrapText="1"/>
    </xf>
    <xf numFmtId="3" fontId="4" fillId="0" borderId="7" xfId="2" applyNumberFormat="1" applyFont="1" applyBorder="1" applyAlignment="1">
      <alignment horizontal="center" vertical="center" wrapText="1"/>
    </xf>
    <xf numFmtId="2" fontId="4" fillId="0" borderId="19" xfId="2" applyNumberFormat="1" applyFont="1" applyBorder="1" applyAlignment="1">
      <alignment horizontal="center" vertical="center"/>
    </xf>
    <xf numFmtId="2" fontId="4" fillId="0" borderId="19" xfId="2" applyNumberFormat="1" applyFont="1" applyFill="1" applyBorder="1" applyAlignment="1">
      <alignment horizontal="center" vertical="center"/>
    </xf>
    <xf numFmtId="164" fontId="4" fillId="0" borderId="19" xfId="2" applyNumberFormat="1" applyFont="1" applyFill="1" applyBorder="1" applyAlignment="1">
      <alignment horizontal="center" vertical="center"/>
    </xf>
    <xf numFmtId="164" fontId="7" fillId="0" borderId="19" xfId="2" applyNumberFormat="1" applyFont="1" applyFill="1" applyBorder="1" applyAlignment="1">
      <alignment horizontal="center" vertical="center"/>
    </xf>
    <xf numFmtId="2" fontId="21" fillId="0" borderId="19" xfId="2" applyNumberFormat="1" applyFont="1" applyFill="1" applyBorder="1" applyAlignment="1">
      <alignment horizontal="center" vertical="center"/>
    </xf>
    <xf numFmtId="2" fontId="23" fillId="0" borderId="19" xfId="2" applyNumberFormat="1" applyFont="1" applyFill="1" applyBorder="1" applyAlignment="1">
      <alignment horizontal="center" vertical="center"/>
    </xf>
    <xf numFmtId="3" fontId="7" fillId="0" borderId="19" xfId="2" applyNumberFormat="1" applyFont="1" applyFill="1" applyBorder="1" applyAlignment="1">
      <alignment horizontal="center" vertical="center"/>
    </xf>
    <xf numFmtId="3" fontId="4" fillId="0" borderId="13" xfId="5" applyNumberFormat="1" applyFont="1" applyFill="1" applyBorder="1" applyAlignment="1">
      <alignment horizontal="center" vertical="center"/>
    </xf>
    <xf numFmtId="3" fontId="4" fillId="0" borderId="19" xfId="2" applyNumberFormat="1" applyFont="1" applyFill="1" applyBorder="1" applyAlignment="1">
      <alignment horizontal="center" vertical="center"/>
    </xf>
    <xf numFmtId="3" fontId="20" fillId="0" borderId="19" xfId="2" applyNumberFormat="1" applyFont="1" applyFill="1" applyBorder="1" applyAlignment="1">
      <alignment horizontal="center" vertical="center"/>
    </xf>
    <xf numFmtId="3" fontId="12" fillId="0" borderId="19" xfId="6" applyNumberFormat="1" applyFont="1" applyFill="1" applyBorder="1" applyAlignment="1">
      <alignment horizontal="center" vertical="center"/>
    </xf>
    <xf numFmtId="3" fontId="10" fillId="0" borderId="19" xfId="2" applyNumberFormat="1" applyFont="1" applyFill="1" applyBorder="1" applyAlignment="1">
      <alignment horizontal="center" vertical="center"/>
    </xf>
    <xf numFmtId="4" fontId="21" fillId="0" borderId="19" xfId="2" applyNumberFormat="1" applyFont="1" applyFill="1" applyBorder="1" applyAlignment="1">
      <alignment horizontal="center" vertical="center"/>
    </xf>
    <xf numFmtId="3" fontId="10" fillId="3" borderId="33" xfId="2" applyNumberFormat="1" applyFont="1" applyFill="1" applyBorder="1" applyAlignment="1">
      <alignment horizontal="center" vertical="center"/>
    </xf>
    <xf numFmtId="3" fontId="4" fillId="4" borderId="33" xfId="2" applyNumberFormat="1" applyFont="1" applyFill="1" applyBorder="1" applyAlignment="1" applyProtection="1">
      <alignment horizontal="center" vertical="center"/>
      <protection locked="0"/>
    </xf>
    <xf numFmtId="3" fontId="20" fillId="0" borderId="1" xfId="2" applyNumberFormat="1" applyFont="1" applyBorder="1" applyAlignment="1">
      <alignment horizontal="center" vertical="center"/>
    </xf>
    <xf numFmtId="3" fontId="44" fillId="3" borderId="7" xfId="2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3" fontId="4" fillId="0" borderId="4" xfId="2" applyNumberFormat="1" applyFont="1" applyBorder="1" applyAlignment="1">
      <alignment horizontal="center" vertical="center" wrapText="1"/>
    </xf>
    <xf numFmtId="3" fontId="4" fillId="0" borderId="10" xfId="2" applyNumberFormat="1" applyFont="1" applyBorder="1" applyAlignment="1">
      <alignment horizontal="center" vertical="center" wrapText="1"/>
    </xf>
    <xf numFmtId="3" fontId="4" fillId="0" borderId="5" xfId="2" applyNumberFormat="1" applyFont="1" applyBorder="1" applyAlignment="1">
      <alignment horizontal="center" vertical="center" wrapText="1"/>
    </xf>
    <xf numFmtId="3" fontId="4" fillId="0" borderId="6" xfId="2" applyNumberFormat="1" applyFont="1" applyBorder="1" applyAlignment="1">
      <alignment horizontal="center" vertical="center" wrapText="1"/>
    </xf>
    <xf numFmtId="3" fontId="4" fillId="0" borderId="2" xfId="2" applyNumberFormat="1" applyFont="1" applyBorder="1" applyAlignment="1">
      <alignment horizontal="center" vertical="center" wrapText="1"/>
    </xf>
    <xf numFmtId="0" fontId="20" fillId="0" borderId="27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20" fillId="0" borderId="13" xfId="2" applyFont="1" applyBorder="1" applyAlignment="1">
      <alignment horizontal="center" vertical="center"/>
    </xf>
    <xf numFmtId="0" fontId="7" fillId="0" borderId="20" xfId="2" applyFont="1" applyBorder="1" applyAlignment="1">
      <alignment vertical="center" wrapText="1"/>
    </xf>
    <xf numFmtId="0" fontId="7" fillId="0" borderId="24" xfId="2" applyFont="1" applyBorder="1" applyAlignment="1">
      <alignment horizontal="center" vertical="center"/>
    </xf>
    <xf numFmtId="0" fontId="20" fillId="0" borderId="20" xfId="2" applyFont="1" applyBorder="1" applyAlignment="1">
      <alignment horizontal="left" vertical="center" wrapText="1"/>
    </xf>
    <xf numFmtId="0" fontId="4" fillId="0" borderId="24" xfId="2" applyFont="1" applyBorder="1" applyAlignment="1">
      <alignment horizontal="center" vertical="center"/>
    </xf>
    <xf numFmtId="0" fontId="35" fillId="0" borderId="24" xfId="8" applyFont="1" applyBorder="1" applyAlignment="1">
      <alignment horizontal="center" vertical="center" wrapText="1"/>
    </xf>
    <xf numFmtId="0" fontId="33" fillId="0" borderId="24" xfId="8" applyFont="1" applyBorder="1" applyAlignment="1">
      <alignment horizontal="center" vertical="center" wrapText="1"/>
    </xf>
    <xf numFmtId="0" fontId="32" fillId="0" borderId="0" xfId="8" applyFont="1" applyAlignment="1">
      <alignment horizontal="center"/>
    </xf>
    <xf numFmtId="0" fontId="35" fillId="0" borderId="24" xfId="8" applyFont="1" applyBorder="1" applyAlignment="1">
      <alignment horizontal="center" vertical="center"/>
    </xf>
    <xf numFmtId="0" fontId="45" fillId="0" borderId="0" xfId="0" applyFont="1" applyAlignment="1">
      <alignment horizontal="center" wrapText="1"/>
    </xf>
  </cellXfs>
  <cellStyles count="10">
    <cellStyle name="Comma" xfId="1" builtinId="3"/>
    <cellStyle name="Normal" xfId="0" builtinId="0"/>
    <cellStyle name="Обычный 11" xfId="2" xr:uid="{95500869-9677-4B7C-9B0E-248827E08FF1}"/>
    <cellStyle name="Обычный 11 4" xfId="6" xr:uid="{CE139290-85F7-4EE3-8766-24581BB99FC8}"/>
    <cellStyle name="Обычный 13" xfId="5" xr:uid="{7085B4D2-C699-4D0F-B453-1D9B94C1965A}"/>
    <cellStyle name="Обычный 14" xfId="8" xr:uid="{29F6D783-6E6C-4C0D-87DA-3B41AFAF5EBE}"/>
    <cellStyle name="Обычный 2" xfId="3" xr:uid="{57CA794F-D1A2-4518-B6C3-AA34C1B17BD7}"/>
    <cellStyle name="Обычный_Model calcul tarif gaze Metod noua" xfId="7" xr:uid="{55768C2E-C644-42BD-BB4E-500C8CC60D86}"/>
    <cellStyle name="УровеньСтрок_1 2" xfId="4" xr:uid="{704616E2-9D50-44EA-A05F-D0084A21FEF5}"/>
    <cellStyle name="Финансовый 16" xfId="9" xr:uid="{69CB3EBE-364C-4A3A-9C54-9C308DF61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EStrungari\Desktop\Furnizare%20gaze%20naturale\SA%20Energocom\Pre&#539;%20reglementat%202026\Actualizare%20la%2030%20septembrie%202026\1.%20Pre&#539;%20furnizare%20oct%202026.xlsx" TargetMode="External"/><Relationship Id="rId1" Type="http://schemas.openxmlformats.org/officeDocument/2006/relationships/externalLinkPath" Target="/Users/EStrungari/Desktop/Furnizare%20gaze%20naturale/SA%20Energocom/Pre&#539;%20reglementat%202026/Actualizare%20la%2030%20septembrie%202026/1.%20Pre&#539;%20furnizare%20oct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EStrungari\Desktop\Furnizare%20gaze%20naturale\SA%20Energocom\Pre&#539;%20reglementat%202026\Actualizare%20la%2030%20septembrie%202026\1Actualizare%20septembrie%202026%20Pre&#539;%20furnizare%20ANRE.xlsx" TargetMode="External"/><Relationship Id="rId1" Type="http://schemas.openxmlformats.org/officeDocument/2006/relationships/externalLinkPath" Target="/Users/EStrungari/Desktop/Furnizare%20gaze%20naturale/SA%20Energocom/Pre&#539;%20reglementat%202026/Actualizare%20la%2030%20septembrie%202026/1Actualizare%20septembrie%202026%20Pre&#539;%20furnizare%20AN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rungari/Desktop/Furnizare%20gaze%20naturale/SA%20Energocom/Pre&#539;%20reglementat%202026/aprobat%20ANRE/Pre&#539;%20furnizare%202026%20ANRE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rungari/Desktop/Pre&#539;%20furnizare%202026%20ANRE%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EStrungari\Desktop\Furnizare%20gaze%20naturale\SA%20Energocom\Pre&#539;%20reglementat%202026\Actualizare%20la%2030%20septembrie%202026\2.%20Devieri%20ian-%20septembrie%202026%20Pre&#539;%20furnizare%20ANRE.xlsx" TargetMode="External"/><Relationship Id="rId1" Type="http://schemas.openxmlformats.org/officeDocument/2006/relationships/externalLinkPath" Target="/Users/EStrungari/Desktop/Furnizare%20gaze%20naturale/SA%20Energocom/Pre&#539;%20reglementat%202026/Actualizare%20la%2030%20septembrie%202026/2.%20Devieri%20ian-%20septembrie%202026%20Pre&#539;%20furnizare%20AN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a rom (2)"/>
      <sheetName val="subventii"/>
      <sheetName val="structura 2021-2022"/>
      <sheetName val="venit tr 1 2022"/>
      <sheetName val="+35% 2021"/>
      <sheetName val="structura rom+35%"/>
      <sheetName val="proiect preturi 4 var."/>
      <sheetName val="ANRE decembrie 2024"/>
      <sheetName val="II din decembrie"/>
      <sheetName val="ANRE septembrie 2025"/>
      <sheetName val="Tarif 01.10.2026 ANRE"/>
      <sheetName val="Volume 2024"/>
      <sheetName val="Volume lunare 2026"/>
      <sheetName val="devieri cost gaz  2022"/>
      <sheetName val="volume gaz furnizat 2022"/>
      <sheetName val="venit regl. 2022 fara devieri"/>
      <sheetName val="devieri 01.01.2022-31.05.2022"/>
      <sheetName val="devieri 01.06.2022-11.08.2022"/>
      <sheetName val="devieri 12.08.2022-30.09.2022"/>
      <sheetName val="devieri cost gaz 2023 "/>
      <sheetName val="cost gaz 2026"/>
      <sheetName val="Prognoza CPG"/>
      <sheetName val="F4a 2026"/>
      <sheetName val="F4b 2026"/>
      <sheetName val="F8 2026"/>
      <sheetName val="Curs Valutar"/>
      <sheetName val="Argus Prices 01.06.2023"/>
      <sheetName val="devieri cost gaz total 2022"/>
      <sheetName val="Cost Transport"/>
      <sheetName val="T5 2026"/>
      <sheetName val="descifrare Transport intrare"/>
      <sheetName val="TT 18 "/>
      <sheetName val="Cost gaz 2022"/>
      <sheetName val="cost distribuție ANRE"/>
      <sheetName val="Cost distribuție"/>
      <sheetName val="Cost Distrib apr-decem 2024"/>
      <sheetName val="CB  2026"/>
      <sheetName val="Лист1"/>
      <sheetName val="Volume 2022"/>
      <sheetName val="TTF pe nivele"/>
      <sheetName val="Tar. 2018 pe categ."/>
      <sheetName val="volume 20"/>
      <sheetName val="volume 2021 "/>
      <sheetName val="Amortizarea"/>
      <sheetName val="WACC"/>
      <sheetName val="Cost capital împrumutat"/>
      <sheetName val="I sem. efectiv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M16">
            <v>0</v>
          </cell>
        </row>
        <row r="17">
          <cell r="M17">
            <v>0</v>
          </cell>
        </row>
        <row r="22">
          <cell r="R22">
            <v>5.5649730510021946</v>
          </cell>
        </row>
        <row r="23">
          <cell r="R23">
            <v>5.9883514364070409</v>
          </cell>
        </row>
        <row r="24">
          <cell r="R24">
            <v>148.20967551259076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J19">
            <v>839.88365065753646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5">
          <cell r="E25">
            <v>2198.1643551458669</v>
          </cell>
        </row>
        <row r="26">
          <cell r="E26">
            <v>8760.9581514635011</v>
          </cell>
        </row>
        <row r="27">
          <cell r="E27">
            <v>737217.76414872648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a rom (2)"/>
      <sheetName val="subventii"/>
      <sheetName val="structura 2021-2022"/>
      <sheetName val="venit tr 1 2022"/>
      <sheetName val="+35% 2021"/>
      <sheetName val="structura rom+35%"/>
      <sheetName val="proiect preturi 4 var."/>
      <sheetName val="ANRE decembrie 2024"/>
      <sheetName val="II din decembrie"/>
      <sheetName val="ANRE septembrie 2025"/>
      <sheetName val="Tarif 2026 ANRE"/>
      <sheetName val="Volume 2024"/>
      <sheetName val="Volume lunare 2026"/>
      <sheetName val="devieri cost gaz  2022"/>
      <sheetName val="volume gaz furnizat 2022"/>
      <sheetName val="venit regl. 2022 fara devieri"/>
      <sheetName val="devieri 01.01.2022-31.05.2022"/>
      <sheetName val="devieri 01.06.2022-11.08.2022"/>
      <sheetName val="devieri 12.08.2022-30.09.2022"/>
      <sheetName val="devieri cost gaz 2023 "/>
      <sheetName val="cost gaz 2026"/>
      <sheetName val="F4a 2026"/>
      <sheetName val="F4b 2026"/>
      <sheetName val="F8 2026"/>
      <sheetName val="F8 2026 iunie-august"/>
      <sheetName val="Curs Valutar"/>
      <sheetName val="Argus Prices 01.06.2023"/>
      <sheetName val="devieri cost gaz total 2022"/>
      <sheetName val="Cost Transport"/>
      <sheetName val="T5 2026"/>
      <sheetName val="descifrare Transport intrare"/>
      <sheetName val="TT 18 "/>
      <sheetName val="Cost gaz 2022"/>
      <sheetName val="cost distribuție ANRE"/>
      <sheetName val="Cost distribuție"/>
      <sheetName val="F6"/>
      <sheetName val="Cost distributie descifrare"/>
      <sheetName val="Cost Distrib apr-decem 2024"/>
      <sheetName val="CB  2026"/>
      <sheetName val="Лист1"/>
      <sheetName val="Volume 2022"/>
      <sheetName val="TTF pe nivele"/>
      <sheetName val="Tar. 2018 pe categ."/>
      <sheetName val="volume 20"/>
      <sheetName val="volume 2021 "/>
      <sheetName val="Amortizarea"/>
      <sheetName val="WACC"/>
      <sheetName val="Cost capital împrumutat"/>
      <sheetName val="I sem. efectiv"/>
      <sheetName val="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5">
          <cell r="E35">
            <v>45297.808296490752</v>
          </cell>
        </row>
        <row r="67">
          <cell r="D67">
            <v>-182030.6458364306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a rom (2)"/>
      <sheetName val="subventii"/>
      <sheetName val="structura 2021-2022"/>
      <sheetName val="venit tr 1 2022"/>
      <sheetName val="+35% 2021"/>
      <sheetName val="structura rom+35%"/>
      <sheetName val="proiect preturi 4 var."/>
      <sheetName val="ANRE decembrie 2024"/>
      <sheetName val="II din decembrie"/>
      <sheetName val="ANRE septembrie 2025"/>
      <sheetName val="Devieri ianuarie 2026"/>
      <sheetName val="Tarif 2026 ANRE"/>
      <sheetName val="Volume 2024"/>
      <sheetName val="Volume lunare 2026"/>
      <sheetName val="devieri cost gaz  2022"/>
      <sheetName val="volume gaz furnizat 2022"/>
      <sheetName val="venit regl. 2022 fara devieri"/>
      <sheetName val="devieri 01.01.2022-31.05.2022"/>
      <sheetName val="devieri 01.06.2022-11.08.2022"/>
      <sheetName val="devieri 12.08.2022-30.09.2022"/>
      <sheetName val="devieri cost gaz 2023 "/>
      <sheetName val="cost gaz 2026"/>
      <sheetName val="Curs Valutar"/>
      <sheetName val="Argus Prices 01.06.2023"/>
      <sheetName val="devieri cost gaz total 2022"/>
      <sheetName val="Cost Transport"/>
      <sheetName val="TT 18 "/>
      <sheetName val="Cost gaz 2022"/>
      <sheetName val="cost distribuție ANRE"/>
      <sheetName val="Cost distribuție"/>
      <sheetName val="Cost distributie descifrare"/>
      <sheetName val="Cost Distrib apr-decem 2024"/>
      <sheetName val="CB  2021"/>
      <sheetName val="Лист1"/>
      <sheetName val="Volume 2022"/>
      <sheetName val="TTF pe nivele"/>
      <sheetName val="Tar. 2018 pe categ."/>
      <sheetName val="volume 20"/>
      <sheetName val="volume 2021 "/>
      <sheetName val="Amortizarea"/>
      <sheetName val="WACC"/>
      <sheetName val="Cost capital împrumutat"/>
      <sheetName val="I sem. efectiv"/>
      <sheetName val="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8">
          <cell r="M18">
            <v>404.24279894594378</v>
          </cell>
        </row>
        <row r="22">
          <cell r="B22">
            <v>462.17982499999999</v>
          </cell>
          <cell r="C22">
            <v>4917593</v>
          </cell>
        </row>
        <row r="69">
          <cell r="B69">
            <v>205.17875000000001</v>
          </cell>
          <cell r="C69">
            <v>2183102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a rom (2)"/>
      <sheetName val="subventii"/>
      <sheetName val="structura 2021-2022"/>
      <sheetName val="venit tr 1 2022"/>
      <sheetName val="+35% 2021"/>
      <sheetName val="structura rom+35%"/>
      <sheetName val="proiect preturi 4 var."/>
      <sheetName val="ANRE decembrie 2024"/>
      <sheetName val="II din decembrie"/>
      <sheetName val="ANRE septembrie 2025"/>
      <sheetName val="Devieri ianuarie 2026"/>
      <sheetName val="Tarif 2026 ANRE"/>
      <sheetName val="Volume 2024"/>
      <sheetName val="Volume lunare 2026"/>
      <sheetName val="devieri cost gaz  2022"/>
      <sheetName val="volume gaz furnizat 2022"/>
      <sheetName val="venit regl. 2022 fara devieri"/>
      <sheetName val="devieri 01.01.2022-31.05.2022"/>
      <sheetName val="devieri 01.06.2022-11.08.2022"/>
      <sheetName val="devieri 12.08.2022-30.09.2022"/>
      <sheetName val="devieri cost gaz 2023 "/>
      <sheetName val="cost gaz 2026"/>
      <sheetName val="Curs Valutar"/>
      <sheetName val="Argus Prices 01.06.2023"/>
      <sheetName val="devieri cost gaz total 2022"/>
      <sheetName val="Cost Transport"/>
      <sheetName val="TT 18 "/>
      <sheetName val="Cost gaz 2022"/>
      <sheetName val="cost distribuție ANRE"/>
      <sheetName val="Cost distribuție"/>
      <sheetName val="Cost distributie descifrare"/>
      <sheetName val="Cost Distrib apr-decem 2024"/>
      <sheetName val="CB  2021"/>
      <sheetName val="Лист1"/>
      <sheetName val="Volume 2022"/>
      <sheetName val="TTF pe nivele"/>
      <sheetName val="Tar. 2018 pe categ."/>
      <sheetName val="volume 20"/>
      <sheetName val="volume 2021 "/>
      <sheetName val="Amortizarea"/>
      <sheetName val="WACC"/>
      <sheetName val="Cost capital împrumutat"/>
      <sheetName val="I sem. efectiv"/>
      <sheetName val="2020"/>
      <sheetName val="cost 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22">
          <cell r="D22">
            <v>36.72351640896045</v>
          </cell>
          <cell r="I22">
            <v>390.73818773480434</v>
          </cell>
          <cell r="J22">
            <v>180591.30722808902</v>
          </cell>
          <cell r="L22">
            <v>3666003.5367302075</v>
          </cell>
        </row>
        <row r="69">
          <cell r="I69">
            <v>386.2125960767749</v>
          </cell>
          <cell r="J69">
            <v>79242.617697287584</v>
          </cell>
          <cell r="L69">
            <v>1608625.1392549381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a rom (2)"/>
      <sheetName val="subventii"/>
      <sheetName val="structura 2021-2022"/>
      <sheetName val="venit tr 1 2022"/>
      <sheetName val="+35% 2021"/>
      <sheetName val="structura rom+35%"/>
      <sheetName val="proiect preturi 4 var."/>
      <sheetName val="ANRE decembrie 2024"/>
      <sheetName val="II din decembrie"/>
      <sheetName val="ANRE septembrie 2025"/>
      <sheetName val="Tarif 2026 ANRE"/>
      <sheetName val="Volume 2024"/>
      <sheetName val="Volume lunare 2026"/>
      <sheetName val="devieri cost gaz  2022"/>
      <sheetName val="volume gaz furnizat 2022"/>
      <sheetName val="venit regl. 2022 fara devieri"/>
      <sheetName val="devieri 01.01.2022-31.05.2022"/>
      <sheetName val="devieri 01.06.2022-11.08.2022"/>
      <sheetName val="devieri 12.08.2022-30.09.2022"/>
      <sheetName val="devieri cost gaz 2023 "/>
      <sheetName val="cost gaz 2026"/>
      <sheetName val="F4a 2026"/>
      <sheetName val="F4b 2026"/>
      <sheetName val="F8 2026"/>
      <sheetName val="F8 2026 iunie-august"/>
      <sheetName val="Curs Valutar"/>
      <sheetName val="Argus Prices 01.06.2023"/>
      <sheetName val="devieri cost gaz total 2022"/>
      <sheetName val="Cost Transport"/>
      <sheetName val="T5 2026"/>
      <sheetName val="descifrare Transport intrare"/>
      <sheetName val="TT 18 "/>
      <sheetName val="Cost gaz 2022"/>
      <sheetName val="cost distribuție ANRE"/>
      <sheetName val="Cost distribuție"/>
      <sheetName val="F6"/>
      <sheetName val="Cost distributie descifrare"/>
      <sheetName val="Cost Distrib apr-decem 2024"/>
      <sheetName val="CB  2026"/>
      <sheetName val="Лист1"/>
      <sheetName val="Volume 2022"/>
      <sheetName val="TTF pe nivele"/>
      <sheetName val="Tar. 2018 pe categ."/>
      <sheetName val="volume 20"/>
      <sheetName val="volume 2021 "/>
      <sheetName val="Amortizarea"/>
      <sheetName val="WACC"/>
      <sheetName val="Cost capital împrumutat"/>
      <sheetName val="I sem. efectiv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E7">
            <v>520.31323369743995</v>
          </cell>
        </row>
        <row r="17">
          <cell r="E17">
            <v>496.15697469743998</v>
          </cell>
        </row>
        <row r="18">
          <cell r="E18">
            <v>145.556138</v>
          </cell>
        </row>
        <row r="19">
          <cell r="E19">
            <v>55.817926</v>
          </cell>
        </row>
        <row r="20">
          <cell r="E20">
            <v>294.78291069744</v>
          </cell>
        </row>
        <row r="26">
          <cell r="E26">
            <v>345043.08293059346</v>
          </cell>
        </row>
        <row r="27">
          <cell r="E27">
            <v>1586123.6072420001</v>
          </cell>
        </row>
        <row r="28">
          <cell r="E28">
            <v>18406.533915</v>
          </cell>
        </row>
        <row r="29">
          <cell r="E29">
            <v>81370.983168999999</v>
          </cell>
        </row>
        <row r="30">
          <cell r="E30">
            <v>1486346.0901580001</v>
          </cell>
        </row>
        <row r="31">
          <cell r="E31">
            <v>191292.67233622464</v>
          </cell>
        </row>
        <row r="34">
          <cell r="E34">
            <v>6617661.6391001986</v>
          </cell>
        </row>
        <row r="35">
          <cell r="E35">
            <v>45297.808296490752</v>
          </cell>
        </row>
        <row r="38">
          <cell r="E38">
            <v>-48395.306382540453</v>
          </cell>
        </row>
        <row r="42">
          <cell r="E42">
            <v>6432533.4951777179</v>
          </cell>
        </row>
      </sheetData>
      <sheetData sheetId="11"/>
      <sheetData sheetId="12">
        <row r="15">
          <cell r="E15">
            <v>24.156248999999999</v>
          </cell>
          <cell r="I15">
            <v>0</v>
          </cell>
          <cell r="O15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8">
          <cell r="H8">
            <v>9.9200236590909086</v>
          </cell>
        </row>
      </sheetData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topLeftCell="A24" zoomScale="50" zoomScaleNormal="50" workbookViewId="0">
      <selection activeCell="N35" sqref="N35"/>
    </sheetView>
  </sheetViews>
  <sheetFormatPr defaultRowHeight="15" outlineLevelRow="1" x14ac:dyDescent="0.25"/>
  <cols>
    <col min="1" max="1" width="12.28515625" style="1" customWidth="1"/>
    <col min="2" max="2" width="85.140625" style="1" customWidth="1"/>
    <col min="3" max="3" width="19.28515625" style="1" bestFit="1" customWidth="1"/>
    <col min="4" max="4" width="21.85546875" style="1" customWidth="1"/>
    <col min="5" max="5" width="29.5703125" style="143" customWidth="1"/>
    <col min="6" max="6" width="19.85546875" style="143" bestFit="1" customWidth="1"/>
    <col min="7" max="7" width="17" style="1" customWidth="1"/>
    <col min="8" max="8" width="21.7109375" style="1" customWidth="1"/>
    <col min="9" max="9" width="20.28515625" style="1" bestFit="1" customWidth="1"/>
    <col min="10" max="10" width="20.5703125" style="1" customWidth="1"/>
    <col min="11" max="12" width="19.5703125" style="1" customWidth="1"/>
    <col min="13" max="13" width="20.42578125" style="1" bestFit="1" customWidth="1"/>
    <col min="14" max="14" width="20.42578125" style="1" customWidth="1"/>
    <col min="15" max="15" width="20.42578125" style="1" bestFit="1" customWidth="1"/>
    <col min="16" max="16" width="19.28515625" style="1" bestFit="1" customWidth="1"/>
    <col min="17" max="167" width="9.140625" style="1"/>
    <col min="168" max="168" width="82.42578125" style="1" customWidth="1"/>
    <col min="169" max="169" width="8.85546875" style="1" customWidth="1"/>
    <col min="170" max="170" width="11.5703125" style="1" customWidth="1"/>
    <col min="171" max="172" width="0" style="1" hidden="1" customWidth="1"/>
    <col min="173" max="173" width="16.7109375" style="1" customWidth="1"/>
    <col min="174" max="174" width="11.7109375" style="1" customWidth="1"/>
    <col min="175" max="175" width="16.7109375" style="1" customWidth="1"/>
    <col min="176" max="176" width="11.7109375" style="1" customWidth="1"/>
    <col min="177" max="177" width="16.5703125" style="1" customWidth="1"/>
    <col min="178" max="178" width="11.7109375" style="1" customWidth="1"/>
    <col min="179" max="423" width="9.140625" style="1"/>
    <col min="424" max="424" width="82.42578125" style="1" customWidth="1"/>
    <col min="425" max="425" width="8.85546875" style="1" customWidth="1"/>
    <col min="426" max="426" width="11.5703125" style="1" customWidth="1"/>
    <col min="427" max="428" width="0" style="1" hidden="1" customWidth="1"/>
    <col min="429" max="429" width="16.7109375" style="1" customWidth="1"/>
    <col min="430" max="430" width="11.7109375" style="1" customWidth="1"/>
    <col min="431" max="431" width="16.7109375" style="1" customWidth="1"/>
    <col min="432" max="432" width="11.7109375" style="1" customWidth="1"/>
    <col min="433" max="433" width="16.5703125" style="1" customWidth="1"/>
    <col min="434" max="434" width="11.7109375" style="1" customWidth="1"/>
    <col min="435" max="679" width="9.140625" style="1"/>
    <col min="680" max="680" width="82.42578125" style="1" customWidth="1"/>
    <col min="681" max="681" width="8.85546875" style="1" customWidth="1"/>
    <col min="682" max="682" width="11.5703125" style="1" customWidth="1"/>
    <col min="683" max="684" width="0" style="1" hidden="1" customWidth="1"/>
    <col min="685" max="685" width="16.7109375" style="1" customWidth="1"/>
    <col min="686" max="686" width="11.7109375" style="1" customWidth="1"/>
    <col min="687" max="687" width="16.7109375" style="1" customWidth="1"/>
    <col min="688" max="688" width="11.7109375" style="1" customWidth="1"/>
    <col min="689" max="689" width="16.5703125" style="1" customWidth="1"/>
    <col min="690" max="690" width="11.7109375" style="1" customWidth="1"/>
    <col min="691" max="935" width="9.140625" style="1"/>
    <col min="936" max="936" width="82.42578125" style="1" customWidth="1"/>
    <col min="937" max="937" width="8.85546875" style="1" customWidth="1"/>
    <col min="938" max="938" width="11.5703125" style="1" customWidth="1"/>
    <col min="939" max="940" width="0" style="1" hidden="1" customWidth="1"/>
    <col min="941" max="941" width="16.7109375" style="1" customWidth="1"/>
    <col min="942" max="942" width="11.7109375" style="1" customWidth="1"/>
    <col min="943" max="943" width="16.7109375" style="1" customWidth="1"/>
    <col min="944" max="944" width="11.7109375" style="1" customWidth="1"/>
    <col min="945" max="945" width="16.5703125" style="1" customWidth="1"/>
    <col min="946" max="946" width="11.7109375" style="1" customWidth="1"/>
    <col min="947" max="1191" width="9.140625" style="1"/>
    <col min="1192" max="1192" width="82.42578125" style="1" customWidth="1"/>
    <col min="1193" max="1193" width="8.85546875" style="1" customWidth="1"/>
    <col min="1194" max="1194" width="11.5703125" style="1" customWidth="1"/>
    <col min="1195" max="1196" width="0" style="1" hidden="1" customWidth="1"/>
    <col min="1197" max="1197" width="16.7109375" style="1" customWidth="1"/>
    <col min="1198" max="1198" width="11.7109375" style="1" customWidth="1"/>
    <col min="1199" max="1199" width="16.7109375" style="1" customWidth="1"/>
    <col min="1200" max="1200" width="11.7109375" style="1" customWidth="1"/>
    <col min="1201" max="1201" width="16.5703125" style="1" customWidth="1"/>
    <col min="1202" max="1202" width="11.7109375" style="1" customWidth="1"/>
    <col min="1203" max="1447" width="9.140625" style="1"/>
    <col min="1448" max="1448" width="82.42578125" style="1" customWidth="1"/>
    <col min="1449" max="1449" width="8.85546875" style="1" customWidth="1"/>
    <col min="1450" max="1450" width="11.5703125" style="1" customWidth="1"/>
    <col min="1451" max="1452" width="0" style="1" hidden="1" customWidth="1"/>
    <col min="1453" max="1453" width="16.7109375" style="1" customWidth="1"/>
    <col min="1454" max="1454" width="11.7109375" style="1" customWidth="1"/>
    <col min="1455" max="1455" width="16.7109375" style="1" customWidth="1"/>
    <col min="1456" max="1456" width="11.7109375" style="1" customWidth="1"/>
    <col min="1457" max="1457" width="16.5703125" style="1" customWidth="1"/>
    <col min="1458" max="1458" width="11.7109375" style="1" customWidth="1"/>
    <col min="1459" max="1703" width="9.140625" style="1"/>
    <col min="1704" max="1704" width="82.42578125" style="1" customWidth="1"/>
    <col min="1705" max="1705" width="8.85546875" style="1" customWidth="1"/>
    <col min="1706" max="1706" width="11.5703125" style="1" customWidth="1"/>
    <col min="1707" max="1708" width="0" style="1" hidden="1" customWidth="1"/>
    <col min="1709" max="1709" width="16.7109375" style="1" customWidth="1"/>
    <col min="1710" max="1710" width="11.7109375" style="1" customWidth="1"/>
    <col min="1711" max="1711" width="16.7109375" style="1" customWidth="1"/>
    <col min="1712" max="1712" width="11.7109375" style="1" customWidth="1"/>
    <col min="1713" max="1713" width="16.5703125" style="1" customWidth="1"/>
    <col min="1714" max="1714" width="11.7109375" style="1" customWidth="1"/>
    <col min="1715" max="1959" width="9.140625" style="1"/>
    <col min="1960" max="1960" width="82.42578125" style="1" customWidth="1"/>
    <col min="1961" max="1961" width="8.85546875" style="1" customWidth="1"/>
    <col min="1962" max="1962" width="11.5703125" style="1" customWidth="1"/>
    <col min="1963" max="1964" width="0" style="1" hidden="1" customWidth="1"/>
    <col min="1965" max="1965" width="16.7109375" style="1" customWidth="1"/>
    <col min="1966" max="1966" width="11.7109375" style="1" customWidth="1"/>
    <col min="1967" max="1967" width="16.7109375" style="1" customWidth="1"/>
    <col min="1968" max="1968" width="11.7109375" style="1" customWidth="1"/>
    <col min="1969" max="1969" width="16.5703125" style="1" customWidth="1"/>
    <col min="1970" max="1970" width="11.7109375" style="1" customWidth="1"/>
    <col min="1971" max="2215" width="9.140625" style="1"/>
    <col min="2216" max="2216" width="82.42578125" style="1" customWidth="1"/>
    <col min="2217" max="2217" width="8.85546875" style="1" customWidth="1"/>
    <col min="2218" max="2218" width="11.5703125" style="1" customWidth="1"/>
    <col min="2219" max="2220" width="0" style="1" hidden="1" customWidth="1"/>
    <col min="2221" max="2221" width="16.7109375" style="1" customWidth="1"/>
    <col min="2222" max="2222" width="11.7109375" style="1" customWidth="1"/>
    <col min="2223" max="2223" width="16.7109375" style="1" customWidth="1"/>
    <col min="2224" max="2224" width="11.7109375" style="1" customWidth="1"/>
    <col min="2225" max="2225" width="16.5703125" style="1" customWidth="1"/>
    <col min="2226" max="2226" width="11.7109375" style="1" customWidth="1"/>
    <col min="2227" max="2471" width="9.140625" style="1"/>
    <col min="2472" max="2472" width="82.42578125" style="1" customWidth="1"/>
    <col min="2473" max="2473" width="8.85546875" style="1" customWidth="1"/>
    <col min="2474" max="2474" width="11.5703125" style="1" customWidth="1"/>
    <col min="2475" max="2476" width="0" style="1" hidden="1" customWidth="1"/>
    <col min="2477" max="2477" width="16.7109375" style="1" customWidth="1"/>
    <col min="2478" max="2478" width="11.7109375" style="1" customWidth="1"/>
    <col min="2479" max="2479" width="16.7109375" style="1" customWidth="1"/>
    <col min="2480" max="2480" width="11.7109375" style="1" customWidth="1"/>
    <col min="2481" max="2481" width="16.5703125" style="1" customWidth="1"/>
    <col min="2482" max="2482" width="11.7109375" style="1" customWidth="1"/>
    <col min="2483" max="2727" width="9.140625" style="1"/>
    <col min="2728" max="2728" width="82.42578125" style="1" customWidth="1"/>
    <col min="2729" max="2729" width="8.85546875" style="1" customWidth="1"/>
    <col min="2730" max="2730" width="11.5703125" style="1" customWidth="1"/>
    <col min="2731" max="2732" width="0" style="1" hidden="1" customWidth="1"/>
    <col min="2733" max="2733" width="16.7109375" style="1" customWidth="1"/>
    <col min="2734" max="2734" width="11.7109375" style="1" customWidth="1"/>
    <col min="2735" max="2735" width="16.7109375" style="1" customWidth="1"/>
    <col min="2736" max="2736" width="11.7109375" style="1" customWidth="1"/>
    <col min="2737" max="2737" width="16.5703125" style="1" customWidth="1"/>
    <col min="2738" max="2738" width="11.7109375" style="1" customWidth="1"/>
    <col min="2739" max="2983" width="9.140625" style="1"/>
    <col min="2984" max="2984" width="82.42578125" style="1" customWidth="1"/>
    <col min="2985" max="2985" width="8.85546875" style="1" customWidth="1"/>
    <col min="2986" max="2986" width="11.5703125" style="1" customWidth="1"/>
    <col min="2987" max="2988" width="0" style="1" hidden="1" customWidth="1"/>
    <col min="2989" max="2989" width="16.7109375" style="1" customWidth="1"/>
    <col min="2990" max="2990" width="11.7109375" style="1" customWidth="1"/>
    <col min="2991" max="2991" width="16.7109375" style="1" customWidth="1"/>
    <col min="2992" max="2992" width="11.7109375" style="1" customWidth="1"/>
    <col min="2993" max="2993" width="16.5703125" style="1" customWidth="1"/>
    <col min="2994" max="2994" width="11.7109375" style="1" customWidth="1"/>
    <col min="2995" max="3239" width="9.140625" style="1"/>
    <col min="3240" max="3240" width="82.42578125" style="1" customWidth="1"/>
    <col min="3241" max="3241" width="8.85546875" style="1" customWidth="1"/>
    <col min="3242" max="3242" width="11.5703125" style="1" customWidth="1"/>
    <col min="3243" max="3244" width="0" style="1" hidden="1" customWidth="1"/>
    <col min="3245" max="3245" width="16.7109375" style="1" customWidth="1"/>
    <col min="3246" max="3246" width="11.7109375" style="1" customWidth="1"/>
    <col min="3247" max="3247" width="16.7109375" style="1" customWidth="1"/>
    <col min="3248" max="3248" width="11.7109375" style="1" customWidth="1"/>
    <col min="3249" max="3249" width="16.5703125" style="1" customWidth="1"/>
    <col min="3250" max="3250" width="11.7109375" style="1" customWidth="1"/>
    <col min="3251" max="3495" width="9.140625" style="1"/>
    <col min="3496" max="3496" width="82.42578125" style="1" customWidth="1"/>
    <col min="3497" max="3497" width="8.85546875" style="1" customWidth="1"/>
    <col min="3498" max="3498" width="11.5703125" style="1" customWidth="1"/>
    <col min="3499" max="3500" width="0" style="1" hidden="1" customWidth="1"/>
    <col min="3501" max="3501" width="16.7109375" style="1" customWidth="1"/>
    <col min="3502" max="3502" width="11.7109375" style="1" customWidth="1"/>
    <col min="3503" max="3503" width="16.7109375" style="1" customWidth="1"/>
    <col min="3504" max="3504" width="11.7109375" style="1" customWidth="1"/>
    <col min="3505" max="3505" width="16.5703125" style="1" customWidth="1"/>
    <col min="3506" max="3506" width="11.7109375" style="1" customWidth="1"/>
    <col min="3507" max="3751" width="9.140625" style="1"/>
    <col min="3752" max="3752" width="82.42578125" style="1" customWidth="1"/>
    <col min="3753" max="3753" width="8.85546875" style="1" customWidth="1"/>
    <col min="3754" max="3754" width="11.5703125" style="1" customWidth="1"/>
    <col min="3755" max="3756" width="0" style="1" hidden="1" customWidth="1"/>
    <col min="3757" max="3757" width="16.7109375" style="1" customWidth="1"/>
    <col min="3758" max="3758" width="11.7109375" style="1" customWidth="1"/>
    <col min="3759" max="3759" width="16.7109375" style="1" customWidth="1"/>
    <col min="3760" max="3760" width="11.7109375" style="1" customWidth="1"/>
    <col min="3761" max="3761" width="16.5703125" style="1" customWidth="1"/>
    <col min="3762" max="3762" width="11.7109375" style="1" customWidth="1"/>
    <col min="3763" max="4007" width="9.140625" style="1"/>
    <col min="4008" max="4008" width="82.42578125" style="1" customWidth="1"/>
    <col min="4009" max="4009" width="8.85546875" style="1" customWidth="1"/>
    <col min="4010" max="4010" width="11.5703125" style="1" customWidth="1"/>
    <col min="4011" max="4012" width="0" style="1" hidden="1" customWidth="1"/>
    <col min="4013" max="4013" width="16.7109375" style="1" customWidth="1"/>
    <col min="4014" max="4014" width="11.7109375" style="1" customWidth="1"/>
    <col min="4015" max="4015" width="16.7109375" style="1" customWidth="1"/>
    <col min="4016" max="4016" width="11.7109375" style="1" customWidth="1"/>
    <col min="4017" max="4017" width="16.5703125" style="1" customWidth="1"/>
    <col min="4018" max="4018" width="11.7109375" style="1" customWidth="1"/>
    <col min="4019" max="4263" width="9.140625" style="1"/>
    <col min="4264" max="4264" width="82.42578125" style="1" customWidth="1"/>
    <col min="4265" max="4265" width="8.85546875" style="1" customWidth="1"/>
    <col min="4266" max="4266" width="11.5703125" style="1" customWidth="1"/>
    <col min="4267" max="4268" width="0" style="1" hidden="1" customWidth="1"/>
    <col min="4269" max="4269" width="16.7109375" style="1" customWidth="1"/>
    <col min="4270" max="4270" width="11.7109375" style="1" customWidth="1"/>
    <col min="4271" max="4271" width="16.7109375" style="1" customWidth="1"/>
    <col min="4272" max="4272" width="11.7109375" style="1" customWidth="1"/>
    <col min="4273" max="4273" width="16.5703125" style="1" customWidth="1"/>
    <col min="4274" max="4274" width="11.7109375" style="1" customWidth="1"/>
    <col min="4275" max="4519" width="9.140625" style="1"/>
    <col min="4520" max="4520" width="82.42578125" style="1" customWidth="1"/>
    <col min="4521" max="4521" width="8.85546875" style="1" customWidth="1"/>
    <col min="4522" max="4522" width="11.5703125" style="1" customWidth="1"/>
    <col min="4523" max="4524" width="0" style="1" hidden="1" customWidth="1"/>
    <col min="4525" max="4525" width="16.7109375" style="1" customWidth="1"/>
    <col min="4526" max="4526" width="11.7109375" style="1" customWidth="1"/>
    <col min="4527" max="4527" width="16.7109375" style="1" customWidth="1"/>
    <col min="4528" max="4528" width="11.7109375" style="1" customWidth="1"/>
    <col min="4529" max="4529" width="16.5703125" style="1" customWidth="1"/>
    <col min="4530" max="4530" width="11.7109375" style="1" customWidth="1"/>
    <col min="4531" max="4775" width="9.140625" style="1"/>
    <col min="4776" max="4776" width="82.42578125" style="1" customWidth="1"/>
    <col min="4777" max="4777" width="8.85546875" style="1" customWidth="1"/>
    <col min="4778" max="4778" width="11.5703125" style="1" customWidth="1"/>
    <col min="4779" max="4780" width="0" style="1" hidden="1" customWidth="1"/>
    <col min="4781" max="4781" width="16.7109375" style="1" customWidth="1"/>
    <col min="4782" max="4782" width="11.7109375" style="1" customWidth="1"/>
    <col min="4783" max="4783" width="16.7109375" style="1" customWidth="1"/>
    <col min="4784" max="4784" width="11.7109375" style="1" customWidth="1"/>
    <col min="4785" max="4785" width="16.5703125" style="1" customWidth="1"/>
    <col min="4786" max="4786" width="11.7109375" style="1" customWidth="1"/>
    <col min="4787" max="5031" width="9.140625" style="1"/>
    <col min="5032" max="5032" width="82.42578125" style="1" customWidth="1"/>
    <col min="5033" max="5033" width="8.85546875" style="1" customWidth="1"/>
    <col min="5034" max="5034" width="11.5703125" style="1" customWidth="1"/>
    <col min="5035" max="5036" width="0" style="1" hidden="1" customWidth="1"/>
    <col min="5037" max="5037" width="16.7109375" style="1" customWidth="1"/>
    <col min="5038" max="5038" width="11.7109375" style="1" customWidth="1"/>
    <col min="5039" max="5039" width="16.7109375" style="1" customWidth="1"/>
    <col min="5040" max="5040" width="11.7109375" style="1" customWidth="1"/>
    <col min="5041" max="5041" width="16.5703125" style="1" customWidth="1"/>
    <col min="5042" max="5042" width="11.7109375" style="1" customWidth="1"/>
    <col min="5043" max="5287" width="9.140625" style="1"/>
    <col min="5288" max="5288" width="82.42578125" style="1" customWidth="1"/>
    <col min="5289" max="5289" width="8.85546875" style="1" customWidth="1"/>
    <col min="5290" max="5290" width="11.5703125" style="1" customWidth="1"/>
    <col min="5291" max="5292" width="0" style="1" hidden="1" customWidth="1"/>
    <col min="5293" max="5293" width="16.7109375" style="1" customWidth="1"/>
    <col min="5294" max="5294" width="11.7109375" style="1" customWidth="1"/>
    <col min="5295" max="5295" width="16.7109375" style="1" customWidth="1"/>
    <col min="5296" max="5296" width="11.7109375" style="1" customWidth="1"/>
    <col min="5297" max="5297" width="16.5703125" style="1" customWidth="1"/>
    <col min="5298" max="5298" width="11.7109375" style="1" customWidth="1"/>
    <col min="5299" max="5543" width="9.140625" style="1"/>
    <col min="5544" max="5544" width="82.42578125" style="1" customWidth="1"/>
    <col min="5545" max="5545" width="8.85546875" style="1" customWidth="1"/>
    <col min="5546" max="5546" width="11.5703125" style="1" customWidth="1"/>
    <col min="5547" max="5548" width="0" style="1" hidden="1" customWidth="1"/>
    <col min="5549" max="5549" width="16.7109375" style="1" customWidth="1"/>
    <col min="5550" max="5550" width="11.7109375" style="1" customWidth="1"/>
    <col min="5551" max="5551" width="16.7109375" style="1" customWidth="1"/>
    <col min="5552" max="5552" width="11.7109375" style="1" customWidth="1"/>
    <col min="5553" max="5553" width="16.5703125" style="1" customWidth="1"/>
    <col min="5554" max="5554" width="11.7109375" style="1" customWidth="1"/>
    <col min="5555" max="5799" width="9.140625" style="1"/>
    <col min="5800" max="5800" width="82.42578125" style="1" customWidth="1"/>
    <col min="5801" max="5801" width="8.85546875" style="1" customWidth="1"/>
    <col min="5802" max="5802" width="11.5703125" style="1" customWidth="1"/>
    <col min="5803" max="5804" width="0" style="1" hidden="1" customWidth="1"/>
    <col min="5805" max="5805" width="16.7109375" style="1" customWidth="1"/>
    <col min="5806" max="5806" width="11.7109375" style="1" customWidth="1"/>
    <col min="5807" max="5807" width="16.7109375" style="1" customWidth="1"/>
    <col min="5808" max="5808" width="11.7109375" style="1" customWidth="1"/>
    <col min="5809" max="5809" width="16.5703125" style="1" customWidth="1"/>
    <col min="5810" max="5810" width="11.7109375" style="1" customWidth="1"/>
    <col min="5811" max="6055" width="9.140625" style="1"/>
    <col min="6056" max="6056" width="82.42578125" style="1" customWidth="1"/>
    <col min="6057" max="6057" width="8.85546875" style="1" customWidth="1"/>
    <col min="6058" max="6058" width="11.5703125" style="1" customWidth="1"/>
    <col min="6059" max="6060" width="0" style="1" hidden="1" customWidth="1"/>
    <col min="6061" max="6061" width="16.7109375" style="1" customWidth="1"/>
    <col min="6062" max="6062" width="11.7109375" style="1" customWidth="1"/>
    <col min="6063" max="6063" width="16.7109375" style="1" customWidth="1"/>
    <col min="6064" max="6064" width="11.7109375" style="1" customWidth="1"/>
    <col min="6065" max="6065" width="16.5703125" style="1" customWidth="1"/>
    <col min="6066" max="6066" width="11.7109375" style="1" customWidth="1"/>
    <col min="6067" max="6311" width="9.140625" style="1"/>
    <col min="6312" max="6312" width="82.42578125" style="1" customWidth="1"/>
    <col min="6313" max="6313" width="8.85546875" style="1" customWidth="1"/>
    <col min="6314" max="6314" width="11.5703125" style="1" customWidth="1"/>
    <col min="6315" max="6316" width="0" style="1" hidden="1" customWidth="1"/>
    <col min="6317" max="6317" width="16.7109375" style="1" customWidth="1"/>
    <col min="6318" max="6318" width="11.7109375" style="1" customWidth="1"/>
    <col min="6319" max="6319" width="16.7109375" style="1" customWidth="1"/>
    <col min="6320" max="6320" width="11.7109375" style="1" customWidth="1"/>
    <col min="6321" max="6321" width="16.5703125" style="1" customWidth="1"/>
    <col min="6322" max="6322" width="11.7109375" style="1" customWidth="1"/>
    <col min="6323" max="6567" width="9.140625" style="1"/>
    <col min="6568" max="6568" width="82.42578125" style="1" customWidth="1"/>
    <col min="6569" max="6569" width="8.85546875" style="1" customWidth="1"/>
    <col min="6570" max="6570" width="11.5703125" style="1" customWidth="1"/>
    <col min="6571" max="6572" width="0" style="1" hidden="1" customWidth="1"/>
    <col min="6573" max="6573" width="16.7109375" style="1" customWidth="1"/>
    <col min="6574" max="6574" width="11.7109375" style="1" customWidth="1"/>
    <col min="6575" max="6575" width="16.7109375" style="1" customWidth="1"/>
    <col min="6576" max="6576" width="11.7109375" style="1" customWidth="1"/>
    <col min="6577" max="6577" width="16.5703125" style="1" customWidth="1"/>
    <col min="6578" max="6578" width="11.7109375" style="1" customWidth="1"/>
    <col min="6579" max="6823" width="9.140625" style="1"/>
    <col min="6824" max="6824" width="82.42578125" style="1" customWidth="1"/>
    <col min="6825" max="6825" width="8.85546875" style="1" customWidth="1"/>
    <col min="6826" max="6826" width="11.5703125" style="1" customWidth="1"/>
    <col min="6827" max="6828" width="0" style="1" hidden="1" customWidth="1"/>
    <col min="6829" max="6829" width="16.7109375" style="1" customWidth="1"/>
    <col min="6830" max="6830" width="11.7109375" style="1" customWidth="1"/>
    <col min="6831" max="6831" width="16.7109375" style="1" customWidth="1"/>
    <col min="6832" max="6832" width="11.7109375" style="1" customWidth="1"/>
    <col min="6833" max="6833" width="16.5703125" style="1" customWidth="1"/>
    <col min="6834" max="6834" width="11.7109375" style="1" customWidth="1"/>
    <col min="6835" max="7079" width="9.140625" style="1"/>
    <col min="7080" max="7080" width="82.42578125" style="1" customWidth="1"/>
    <col min="7081" max="7081" width="8.85546875" style="1" customWidth="1"/>
    <col min="7082" max="7082" width="11.5703125" style="1" customWidth="1"/>
    <col min="7083" max="7084" width="0" style="1" hidden="1" customWidth="1"/>
    <col min="7085" max="7085" width="16.7109375" style="1" customWidth="1"/>
    <col min="7086" max="7086" width="11.7109375" style="1" customWidth="1"/>
    <col min="7087" max="7087" width="16.7109375" style="1" customWidth="1"/>
    <col min="7088" max="7088" width="11.7109375" style="1" customWidth="1"/>
    <col min="7089" max="7089" width="16.5703125" style="1" customWidth="1"/>
    <col min="7090" max="7090" width="11.7109375" style="1" customWidth="1"/>
    <col min="7091" max="7335" width="9.140625" style="1"/>
    <col min="7336" max="7336" width="82.42578125" style="1" customWidth="1"/>
    <col min="7337" max="7337" width="8.85546875" style="1" customWidth="1"/>
    <col min="7338" max="7338" width="11.5703125" style="1" customWidth="1"/>
    <col min="7339" max="7340" width="0" style="1" hidden="1" customWidth="1"/>
    <col min="7341" max="7341" width="16.7109375" style="1" customWidth="1"/>
    <col min="7342" max="7342" width="11.7109375" style="1" customWidth="1"/>
    <col min="7343" max="7343" width="16.7109375" style="1" customWidth="1"/>
    <col min="7344" max="7344" width="11.7109375" style="1" customWidth="1"/>
    <col min="7345" max="7345" width="16.5703125" style="1" customWidth="1"/>
    <col min="7346" max="7346" width="11.7109375" style="1" customWidth="1"/>
    <col min="7347" max="7591" width="9.140625" style="1"/>
    <col min="7592" max="7592" width="82.42578125" style="1" customWidth="1"/>
    <col min="7593" max="7593" width="8.85546875" style="1" customWidth="1"/>
    <col min="7594" max="7594" width="11.5703125" style="1" customWidth="1"/>
    <col min="7595" max="7596" width="0" style="1" hidden="1" customWidth="1"/>
    <col min="7597" max="7597" width="16.7109375" style="1" customWidth="1"/>
    <col min="7598" max="7598" width="11.7109375" style="1" customWidth="1"/>
    <col min="7599" max="7599" width="16.7109375" style="1" customWidth="1"/>
    <col min="7600" max="7600" width="11.7109375" style="1" customWidth="1"/>
    <col min="7601" max="7601" width="16.5703125" style="1" customWidth="1"/>
    <col min="7602" max="7602" width="11.7109375" style="1" customWidth="1"/>
    <col min="7603" max="7847" width="9.140625" style="1"/>
    <col min="7848" max="7848" width="82.42578125" style="1" customWidth="1"/>
    <col min="7849" max="7849" width="8.85546875" style="1" customWidth="1"/>
    <col min="7850" max="7850" width="11.5703125" style="1" customWidth="1"/>
    <col min="7851" max="7852" width="0" style="1" hidden="1" customWidth="1"/>
    <col min="7853" max="7853" width="16.7109375" style="1" customWidth="1"/>
    <col min="7854" max="7854" width="11.7109375" style="1" customWidth="1"/>
    <col min="7855" max="7855" width="16.7109375" style="1" customWidth="1"/>
    <col min="7856" max="7856" width="11.7109375" style="1" customWidth="1"/>
    <col min="7857" max="7857" width="16.5703125" style="1" customWidth="1"/>
    <col min="7858" max="7858" width="11.7109375" style="1" customWidth="1"/>
    <col min="7859" max="8103" width="9.140625" style="1"/>
    <col min="8104" max="8104" width="82.42578125" style="1" customWidth="1"/>
    <col min="8105" max="8105" width="8.85546875" style="1" customWidth="1"/>
    <col min="8106" max="8106" width="11.5703125" style="1" customWidth="1"/>
    <col min="8107" max="8108" width="0" style="1" hidden="1" customWidth="1"/>
    <col min="8109" max="8109" width="16.7109375" style="1" customWidth="1"/>
    <col min="8110" max="8110" width="11.7109375" style="1" customWidth="1"/>
    <col min="8111" max="8111" width="16.7109375" style="1" customWidth="1"/>
    <col min="8112" max="8112" width="11.7109375" style="1" customWidth="1"/>
    <col min="8113" max="8113" width="16.5703125" style="1" customWidth="1"/>
    <col min="8114" max="8114" width="11.7109375" style="1" customWidth="1"/>
    <col min="8115" max="8359" width="9.140625" style="1"/>
    <col min="8360" max="8360" width="82.42578125" style="1" customWidth="1"/>
    <col min="8361" max="8361" width="8.85546875" style="1" customWidth="1"/>
    <col min="8362" max="8362" width="11.5703125" style="1" customWidth="1"/>
    <col min="8363" max="8364" width="0" style="1" hidden="1" customWidth="1"/>
    <col min="8365" max="8365" width="16.7109375" style="1" customWidth="1"/>
    <col min="8366" max="8366" width="11.7109375" style="1" customWidth="1"/>
    <col min="8367" max="8367" width="16.7109375" style="1" customWidth="1"/>
    <col min="8368" max="8368" width="11.7109375" style="1" customWidth="1"/>
    <col min="8369" max="8369" width="16.5703125" style="1" customWidth="1"/>
    <col min="8370" max="8370" width="11.7109375" style="1" customWidth="1"/>
    <col min="8371" max="8615" width="9.140625" style="1"/>
    <col min="8616" max="8616" width="82.42578125" style="1" customWidth="1"/>
    <col min="8617" max="8617" width="8.85546875" style="1" customWidth="1"/>
    <col min="8618" max="8618" width="11.5703125" style="1" customWidth="1"/>
    <col min="8619" max="8620" width="0" style="1" hidden="1" customWidth="1"/>
    <col min="8621" max="8621" width="16.7109375" style="1" customWidth="1"/>
    <col min="8622" max="8622" width="11.7109375" style="1" customWidth="1"/>
    <col min="8623" max="8623" width="16.7109375" style="1" customWidth="1"/>
    <col min="8624" max="8624" width="11.7109375" style="1" customWidth="1"/>
    <col min="8625" max="8625" width="16.5703125" style="1" customWidth="1"/>
    <col min="8626" max="8626" width="11.7109375" style="1" customWidth="1"/>
    <col min="8627" max="8871" width="9.140625" style="1"/>
    <col min="8872" max="8872" width="82.42578125" style="1" customWidth="1"/>
    <col min="8873" max="8873" width="8.85546875" style="1" customWidth="1"/>
    <col min="8874" max="8874" width="11.5703125" style="1" customWidth="1"/>
    <col min="8875" max="8876" width="0" style="1" hidden="1" customWidth="1"/>
    <col min="8877" max="8877" width="16.7109375" style="1" customWidth="1"/>
    <col min="8878" max="8878" width="11.7109375" style="1" customWidth="1"/>
    <col min="8879" max="8879" width="16.7109375" style="1" customWidth="1"/>
    <col min="8880" max="8880" width="11.7109375" style="1" customWidth="1"/>
    <col min="8881" max="8881" width="16.5703125" style="1" customWidth="1"/>
    <col min="8882" max="8882" width="11.7109375" style="1" customWidth="1"/>
    <col min="8883" max="9127" width="9.140625" style="1"/>
    <col min="9128" max="9128" width="82.42578125" style="1" customWidth="1"/>
    <col min="9129" max="9129" width="8.85546875" style="1" customWidth="1"/>
    <col min="9130" max="9130" width="11.5703125" style="1" customWidth="1"/>
    <col min="9131" max="9132" width="0" style="1" hidden="1" customWidth="1"/>
    <col min="9133" max="9133" width="16.7109375" style="1" customWidth="1"/>
    <col min="9134" max="9134" width="11.7109375" style="1" customWidth="1"/>
    <col min="9135" max="9135" width="16.7109375" style="1" customWidth="1"/>
    <col min="9136" max="9136" width="11.7109375" style="1" customWidth="1"/>
    <col min="9137" max="9137" width="16.5703125" style="1" customWidth="1"/>
    <col min="9138" max="9138" width="11.7109375" style="1" customWidth="1"/>
    <col min="9139" max="9383" width="9.140625" style="1"/>
    <col min="9384" max="9384" width="82.42578125" style="1" customWidth="1"/>
    <col min="9385" max="9385" width="8.85546875" style="1" customWidth="1"/>
    <col min="9386" max="9386" width="11.5703125" style="1" customWidth="1"/>
    <col min="9387" max="9388" width="0" style="1" hidden="1" customWidth="1"/>
    <col min="9389" max="9389" width="16.7109375" style="1" customWidth="1"/>
    <col min="9390" max="9390" width="11.7109375" style="1" customWidth="1"/>
    <col min="9391" max="9391" width="16.7109375" style="1" customWidth="1"/>
    <col min="9392" max="9392" width="11.7109375" style="1" customWidth="1"/>
    <col min="9393" max="9393" width="16.5703125" style="1" customWidth="1"/>
    <col min="9394" max="9394" width="11.7109375" style="1" customWidth="1"/>
    <col min="9395" max="9639" width="9.140625" style="1"/>
    <col min="9640" max="9640" width="82.42578125" style="1" customWidth="1"/>
    <col min="9641" max="9641" width="8.85546875" style="1" customWidth="1"/>
    <col min="9642" max="9642" width="11.5703125" style="1" customWidth="1"/>
    <col min="9643" max="9644" width="0" style="1" hidden="1" customWidth="1"/>
    <col min="9645" max="9645" width="16.7109375" style="1" customWidth="1"/>
    <col min="9646" max="9646" width="11.7109375" style="1" customWidth="1"/>
    <col min="9647" max="9647" width="16.7109375" style="1" customWidth="1"/>
    <col min="9648" max="9648" width="11.7109375" style="1" customWidth="1"/>
    <col min="9649" max="9649" width="16.5703125" style="1" customWidth="1"/>
    <col min="9650" max="9650" width="11.7109375" style="1" customWidth="1"/>
    <col min="9651" max="9895" width="9.140625" style="1"/>
    <col min="9896" max="9896" width="82.42578125" style="1" customWidth="1"/>
    <col min="9897" max="9897" width="8.85546875" style="1" customWidth="1"/>
    <col min="9898" max="9898" width="11.5703125" style="1" customWidth="1"/>
    <col min="9899" max="9900" width="0" style="1" hidden="1" customWidth="1"/>
    <col min="9901" max="9901" width="16.7109375" style="1" customWidth="1"/>
    <col min="9902" max="9902" width="11.7109375" style="1" customWidth="1"/>
    <col min="9903" max="9903" width="16.7109375" style="1" customWidth="1"/>
    <col min="9904" max="9904" width="11.7109375" style="1" customWidth="1"/>
    <col min="9905" max="9905" width="16.5703125" style="1" customWidth="1"/>
    <col min="9906" max="9906" width="11.7109375" style="1" customWidth="1"/>
    <col min="9907" max="10151" width="9.140625" style="1"/>
    <col min="10152" max="10152" width="82.42578125" style="1" customWidth="1"/>
    <col min="10153" max="10153" width="8.85546875" style="1" customWidth="1"/>
    <col min="10154" max="10154" width="11.5703125" style="1" customWidth="1"/>
    <col min="10155" max="10156" width="0" style="1" hidden="1" customWidth="1"/>
    <col min="10157" max="10157" width="16.7109375" style="1" customWidth="1"/>
    <col min="10158" max="10158" width="11.7109375" style="1" customWidth="1"/>
    <col min="10159" max="10159" width="16.7109375" style="1" customWidth="1"/>
    <col min="10160" max="10160" width="11.7109375" style="1" customWidth="1"/>
    <col min="10161" max="10161" width="16.5703125" style="1" customWidth="1"/>
    <col min="10162" max="10162" width="11.7109375" style="1" customWidth="1"/>
    <col min="10163" max="10407" width="9.140625" style="1"/>
    <col min="10408" max="10408" width="82.42578125" style="1" customWidth="1"/>
    <col min="10409" max="10409" width="8.85546875" style="1" customWidth="1"/>
    <col min="10410" max="10410" width="11.5703125" style="1" customWidth="1"/>
    <col min="10411" max="10412" width="0" style="1" hidden="1" customWidth="1"/>
    <col min="10413" max="10413" width="16.7109375" style="1" customWidth="1"/>
    <col min="10414" max="10414" width="11.7109375" style="1" customWidth="1"/>
    <col min="10415" max="10415" width="16.7109375" style="1" customWidth="1"/>
    <col min="10416" max="10416" width="11.7109375" style="1" customWidth="1"/>
    <col min="10417" max="10417" width="16.5703125" style="1" customWidth="1"/>
    <col min="10418" max="10418" width="11.7109375" style="1" customWidth="1"/>
    <col min="10419" max="10663" width="9.140625" style="1"/>
    <col min="10664" max="10664" width="82.42578125" style="1" customWidth="1"/>
    <col min="10665" max="10665" width="8.85546875" style="1" customWidth="1"/>
    <col min="10666" max="10666" width="11.5703125" style="1" customWidth="1"/>
    <col min="10667" max="10668" width="0" style="1" hidden="1" customWidth="1"/>
    <col min="10669" max="10669" width="16.7109375" style="1" customWidth="1"/>
    <col min="10670" max="10670" width="11.7109375" style="1" customWidth="1"/>
    <col min="10671" max="10671" width="16.7109375" style="1" customWidth="1"/>
    <col min="10672" max="10672" width="11.7109375" style="1" customWidth="1"/>
    <col min="10673" max="10673" width="16.5703125" style="1" customWidth="1"/>
    <col min="10674" max="10674" width="11.7109375" style="1" customWidth="1"/>
    <col min="10675" max="10919" width="9.140625" style="1"/>
    <col min="10920" max="10920" width="82.42578125" style="1" customWidth="1"/>
    <col min="10921" max="10921" width="8.85546875" style="1" customWidth="1"/>
    <col min="10922" max="10922" width="11.5703125" style="1" customWidth="1"/>
    <col min="10923" max="10924" width="0" style="1" hidden="1" customWidth="1"/>
    <col min="10925" max="10925" width="16.7109375" style="1" customWidth="1"/>
    <col min="10926" max="10926" width="11.7109375" style="1" customWidth="1"/>
    <col min="10927" max="10927" width="16.7109375" style="1" customWidth="1"/>
    <col min="10928" max="10928" width="11.7109375" style="1" customWidth="1"/>
    <col min="10929" max="10929" width="16.5703125" style="1" customWidth="1"/>
    <col min="10930" max="10930" width="11.7109375" style="1" customWidth="1"/>
    <col min="10931" max="11175" width="9.140625" style="1"/>
    <col min="11176" max="11176" width="82.42578125" style="1" customWidth="1"/>
    <col min="11177" max="11177" width="8.85546875" style="1" customWidth="1"/>
    <col min="11178" max="11178" width="11.5703125" style="1" customWidth="1"/>
    <col min="11179" max="11180" width="0" style="1" hidden="1" customWidth="1"/>
    <col min="11181" max="11181" width="16.7109375" style="1" customWidth="1"/>
    <col min="11182" max="11182" width="11.7109375" style="1" customWidth="1"/>
    <col min="11183" max="11183" width="16.7109375" style="1" customWidth="1"/>
    <col min="11184" max="11184" width="11.7109375" style="1" customWidth="1"/>
    <col min="11185" max="11185" width="16.5703125" style="1" customWidth="1"/>
    <col min="11186" max="11186" width="11.7109375" style="1" customWidth="1"/>
    <col min="11187" max="11431" width="9.140625" style="1"/>
    <col min="11432" max="11432" width="82.42578125" style="1" customWidth="1"/>
    <col min="11433" max="11433" width="8.85546875" style="1" customWidth="1"/>
    <col min="11434" max="11434" width="11.5703125" style="1" customWidth="1"/>
    <col min="11435" max="11436" width="0" style="1" hidden="1" customWidth="1"/>
    <col min="11437" max="11437" width="16.7109375" style="1" customWidth="1"/>
    <col min="11438" max="11438" width="11.7109375" style="1" customWidth="1"/>
    <col min="11439" max="11439" width="16.7109375" style="1" customWidth="1"/>
    <col min="11440" max="11440" width="11.7109375" style="1" customWidth="1"/>
    <col min="11441" max="11441" width="16.5703125" style="1" customWidth="1"/>
    <col min="11442" max="11442" width="11.7109375" style="1" customWidth="1"/>
    <col min="11443" max="11687" width="9.140625" style="1"/>
    <col min="11688" max="11688" width="82.42578125" style="1" customWidth="1"/>
    <col min="11689" max="11689" width="8.85546875" style="1" customWidth="1"/>
    <col min="11690" max="11690" width="11.5703125" style="1" customWidth="1"/>
    <col min="11691" max="11692" width="0" style="1" hidden="1" customWidth="1"/>
    <col min="11693" max="11693" width="16.7109375" style="1" customWidth="1"/>
    <col min="11694" max="11694" width="11.7109375" style="1" customWidth="1"/>
    <col min="11695" max="11695" width="16.7109375" style="1" customWidth="1"/>
    <col min="11696" max="11696" width="11.7109375" style="1" customWidth="1"/>
    <col min="11697" max="11697" width="16.5703125" style="1" customWidth="1"/>
    <col min="11698" max="11698" width="11.7109375" style="1" customWidth="1"/>
    <col min="11699" max="11943" width="9.140625" style="1"/>
    <col min="11944" max="11944" width="82.42578125" style="1" customWidth="1"/>
    <col min="11945" max="11945" width="8.85546875" style="1" customWidth="1"/>
    <col min="11946" max="11946" width="11.5703125" style="1" customWidth="1"/>
    <col min="11947" max="11948" width="0" style="1" hidden="1" customWidth="1"/>
    <col min="11949" max="11949" width="16.7109375" style="1" customWidth="1"/>
    <col min="11950" max="11950" width="11.7109375" style="1" customWidth="1"/>
    <col min="11951" max="11951" width="16.7109375" style="1" customWidth="1"/>
    <col min="11952" max="11952" width="11.7109375" style="1" customWidth="1"/>
    <col min="11953" max="11953" width="16.5703125" style="1" customWidth="1"/>
    <col min="11954" max="11954" width="11.7109375" style="1" customWidth="1"/>
    <col min="11955" max="12199" width="9.140625" style="1"/>
    <col min="12200" max="12200" width="82.42578125" style="1" customWidth="1"/>
    <col min="12201" max="12201" width="8.85546875" style="1" customWidth="1"/>
    <col min="12202" max="12202" width="11.5703125" style="1" customWidth="1"/>
    <col min="12203" max="12204" width="0" style="1" hidden="1" customWidth="1"/>
    <col min="12205" max="12205" width="16.7109375" style="1" customWidth="1"/>
    <col min="12206" max="12206" width="11.7109375" style="1" customWidth="1"/>
    <col min="12207" max="12207" width="16.7109375" style="1" customWidth="1"/>
    <col min="12208" max="12208" width="11.7109375" style="1" customWidth="1"/>
    <col min="12209" max="12209" width="16.5703125" style="1" customWidth="1"/>
    <col min="12210" max="12210" width="11.7109375" style="1" customWidth="1"/>
    <col min="12211" max="12455" width="9.140625" style="1"/>
    <col min="12456" max="12456" width="82.42578125" style="1" customWidth="1"/>
    <col min="12457" max="12457" width="8.85546875" style="1" customWidth="1"/>
    <col min="12458" max="12458" width="11.5703125" style="1" customWidth="1"/>
    <col min="12459" max="12460" width="0" style="1" hidden="1" customWidth="1"/>
    <col min="12461" max="12461" width="16.7109375" style="1" customWidth="1"/>
    <col min="12462" max="12462" width="11.7109375" style="1" customWidth="1"/>
    <col min="12463" max="12463" width="16.7109375" style="1" customWidth="1"/>
    <col min="12464" max="12464" width="11.7109375" style="1" customWidth="1"/>
    <col min="12465" max="12465" width="16.5703125" style="1" customWidth="1"/>
    <col min="12466" max="12466" width="11.7109375" style="1" customWidth="1"/>
    <col min="12467" max="12711" width="9.140625" style="1"/>
    <col min="12712" max="12712" width="82.42578125" style="1" customWidth="1"/>
    <col min="12713" max="12713" width="8.85546875" style="1" customWidth="1"/>
    <col min="12714" max="12714" width="11.5703125" style="1" customWidth="1"/>
    <col min="12715" max="12716" width="0" style="1" hidden="1" customWidth="1"/>
    <col min="12717" max="12717" width="16.7109375" style="1" customWidth="1"/>
    <col min="12718" max="12718" width="11.7109375" style="1" customWidth="1"/>
    <col min="12719" max="12719" width="16.7109375" style="1" customWidth="1"/>
    <col min="12720" max="12720" width="11.7109375" style="1" customWidth="1"/>
    <col min="12721" max="12721" width="16.5703125" style="1" customWidth="1"/>
    <col min="12722" max="12722" width="11.7109375" style="1" customWidth="1"/>
    <col min="12723" max="12967" width="9.140625" style="1"/>
    <col min="12968" max="12968" width="82.42578125" style="1" customWidth="1"/>
    <col min="12969" max="12969" width="8.85546875" style="1" customWidth="1"/>
    <col min="12970" max="12970" width="11.5703125" style="1" customWidth="1"/>
    <col min="12971" max="12972" width="0" style="1" hidden="1" customWidth="1"/>
    <col min="12973" max="12973" width="16.7109375" style="1" customWidth="1"/>
    <col min="12974" max="12974" width="11.7109375" style="1" customWidth="1"/>
    <col min="12975" max="12975" width="16.7109375" style="1" customWidth="1"/>
    <col min="12976" max="12976" width="11.7109375" style="1" customWidth="1"/>
    <col min="12977" max="12977" width="16.5703125" style="1" customWidth="1"/>
    <col min="12978" max="12978" width="11.7109375" style="1" customWidth="1"/>
    <col min="12979" max="13223" width="9.140625" style="1"/>
    <col min="13224" max="13224" width="82.42578125" style="1" customWidth="1"/>
    <col min="13225" max="13225" width="8.85546875" style="1" customWidth="1"/>
    <col min="13226" max="13226" width="11.5703125" style="1" customWidth="1"/>
    <col min="13227" max="13228" width="0" style="1" hidden="1" customWidth="1"/>
    <col min="13229" max="13229" width="16.7109375" style="1" customWidth="1"/>
    <col min="13230" max="13230" width="11.7109375" style="1" customWidth="1"/>
    <col min="13231" max="13231" width="16.7109375" style="1" customWidth="1"/>
    <col min="13232" max="13232" width="11.7109375" style="1" customWidth="1"/>
    <col min="13233" max="13233" width="16.5703125" style="1" customWidth="1"/>
    <col min="13234" max="13234" width="11.7109375" style="1" customWidth="1"/>
    <col min="13235" max="13479" width="9.140625" style="1"/>
    <col min="13480" max="13480" width="82.42578125" style="1" customWidth="1"/>
    <col min="13481" max="13481" width="8.85546875" style="1" customWidth="1"/>
    <col min="13482" max="13482" width="11.5703125" style="1" customWidth="1"/>
    <col min="13483" max="13484" width="0" style="1" hidden="1" customWidth="1"/>
    <col min="13485" max="13485" width="16.7109375" style="1" customWidth="1"/>
    <col min="13486" max="13486" width="11.7109375" style="1" customWidth="1"/>
    <col min="13487" max="13487" width="16.7109375" style="1" customWidth="1"/>
    <col min="13488" max="13488" width="11.7109375" style="1" customWidth="1"/>
    <col min="13489" max="13489" width="16.5703125" style="1" customWidth="1"/>
    <col min="13490" max="13490" width="11.7109375" style="1" customWidth="1"/>
    <col min="13491" max="13735" width="9.140625" style="1"/>
    <col min="13736" max="13736" width="82.42578125" style="1" customWidth="1"/>
    <col min="13737" max="13737" width="8.85546875" style="1" customWidth="1"/>
    <col min="13738" max="13738" width="11.5703125" style="1" customWidth="1"/>
    <col min="13739" max="13740" width="0" style="1" hidden="1" customWidth="1"/>
    <col min="13741" max="13741" width="16.7109375" style="1" customWidth="1"/>
    <col min="13742" max="13742" width="11.7109375" style="1" customWidth="1"/>
    <col min="13743" max="13743" width="16.7109375" style="1" customWidth="1"/>
    <col min="13744" max="13744" width="11.7109375" style="1" customWidth="1"/>
    <col min="13745" max="13745" width="16.5703125" style="1" customWidth="1"/>
    <col min="13746" max="13746" width="11.7109375" style="1" customWidth="1"/>
    <col min="13747" max="13991" width="9.140625" style="1"/>
    <col min="13992" max="13992" width="82.42578125" style="1" customWidth="1"/>
    <col min="13993" max="13993" width="8.85546875" style="1" customWidth="1"/>
    <col min="13994" max="13994" width="11.5703125" style="1" customWidth="1"/>
    <col min="13995" max="13996" width="0" style="1" hidden="1" customWidth="1"/>
    <col min="13997" max="13997" width="16.7109375" style="1" customWidth="1"/>
    <col min="13998" max="13998" width="11.7109375" style="1" customWidth="1"/>
    <col min="13999" max="13999" width="16.7109375" style="1" customWidth="1"/>
    <col min="14000" max="14000" width="11.7109375" style="1" customWidth="1"/>
    <col min="14001" max="14001" width="16.5703125" style="1" customWidth="1"/>
    <col min="14002" max="14002" width="11.7109375" style="1" customWidth="1"/>
    <col min="14003" max="14247" width="9.140625" style="1"/>
    <col min="14248" max="14248" width="82.42578125" style="1" customWidth="1"/>
    <col min="14249" max="14249" width="8.85546875" style="1" customWidth="1"/>
    <col min="14250" max="14250" width="11.5703125" style="1" customWidth="1"/>
    <col min="14251" max="14252" width="0" style="1" hidden="1" customWidth="1"/>
    <col min="14253" max="14253" width="16.7109375" style="1" customWidth="1"/>
    <col min="14254" max="14254" width="11.7109375" style="1" customWidth="1"/>
    <col min="14255" max="14255" width="16.7109375" style="1" customWidth="1"/>
    <col min="14256" max="14256" width="11.7109375" style="1" customWidth="1"/>
    <col min="14257" max="14257" width="16.5703125" style="1" customWidth="1"/>
    <col min="14258" max="14258" width="11.7109375" style="1" customWidth="1"/>
    <col min="14259" max="14503" width="9.140625" style="1"/>
    <col min="14504" max="14504" width="82.42578125" style="1" customWidth="1"/>
    <col min="14505" max="14505" width="8.85546875" style="1" customWidth="1"/>
    <col min="14506" max="14506" width="11.5703125" style="1" customWidth="1"/>
    <col min="14507" max="14508" width="0" style="1" hidden="1" customWidth="1"/>
    <col min="14509" max="14509" width="16.7109375" style="1" customWidth="1"/>
    <col min="14510" max="14510" width="11.7109375" style="1" customWidth="1"/>
    <col min="14511" max="14511" width="16.7109375" style="1" customWidth="1"/>
    <col min="14512" max="14512" width="11.7109375" style="1" customWidth="1"/>
    <col min="14513" max="14513" width="16.5703125" style="1" customWidth="1"/>
    <col min="14514" max="14514" width="11.7109375" style="1" customWidth="1"/>
    <col min="14515" max="14759" width="9.140625" style="1"/>
    <col min="14760" max="14760" width="82.42578125" style="1" customWidth="1"/>
    <col min="14761" max="14761" width="8.85546875" style="1" customWidth="1"/>
    <col min="14762" max="14762" width="11.5703125" style="1" customWidth="1"/>
    <col min="14763" max="14764" width="0" style="1" hidden="1" customWidth="1"/>
    <col min="14765" max="14765" width="16.7109375" style="1" customWidth="1"/>
    <col min="14766" max="14766" width="11.7109375" style="1" customWidth="1"/>
    <col min="14767" max="14767" width="16.7109375" style="1" customWidth="1"/>
    <col min="14768" max="14768" width="11.7109375" style="1" customWidth="1"/>
    <col min="14769" max="14769" width="16.5703125" style="1" customWidth="1"/>
    <col min="14770" max="14770" width="11.7109375" style="1" customWidth="1"/>
    <col min="14771" max="15015" width="9.140625" style="1"/>
    <col min="15016" max="15016" width="82.42578125" style="1" customWidth="1"/>
    <col min="15017" max="15017" width="8.85546875" style="1" customWidth="1"/>
    <col min="15018" max="15018" width="11.5703125" style="1" customWidth="1"/>
    <col min="15019" max="15020" width="0" style="1" hidden="1" customWidth="1"/>
    <col min="15021" max="15021" width="16.7109375" style="1" customWidth="1"/>
    <col min="15022" max="15022" width="11.7109375" style="1" customWidth="1"/>
    <col min="15023" max="15023" width="16.7109375" style="1" customWidth="1"/>
    <col min="15024" max="15024" width="11.7109375" style="1" customWidth="1"/>
    <col min="15025" max="15025" width="16.5703125" style="1" customWidth="1"/>
    <col min="15026" max="15026" width="11.7109375" style="1" customWidth="1"/>
    <col min="15027" max="15271" width="9.140625" style="1"/>
    <col min="15272" max="15272" width="82.42578125" style="1" customWidth="1"/>
    <col min="15273" max="15273" width="8.85546875" style="1" customWidth="1"/>
    <col min="15274" max="15274" width="11.5703125" style="1" customWidth="1"/>
    <col min="15275" max="15276" width="0" style="1" hidden="1" customWidth="1"/>
    <col min="15277" max="15277" width="16.7109375" style="1" customWidth="1"/>
    <col min="15278" max="15278" width="11.7109375" style="1" customWidth="1"/>
    <col min="15279" max="15279" width="16.7109375" style="1" customWidth="1"/>
    <col min="15280" max="15280" width="11.7109375" style="1" customWidth="1"/>
    <col min="15281" max="15281" width="16.5703125" style="1" customWidth="1"/>
    <col min="15282" max="15282" width="11.7109375" style="1" customWidth="1"/>
    <col min="15283" max="15527" width="9.140625" style="1"/>
    <col min="15528" max="15528" width="82.42578125" style="1" customWidth="1"/>
    <col min="15529" max="15529" width="8.85546875" style="1" customWidth="1"/>
    <col min="15530" max="15530" width="11.5703125" style="1" customWidth="1"/>
    <col min="15531" max="15532" width="0" style="1" hidden="1" customWidth="1"/>
    <col min="15533" max="15533" width="16.7109375" style="1" customWidth="1"/>
    <col min="15534" max="15534" width="11.7109375" style="1" customWidth="1"/>
    <col min="15535" max="15535" width="16.7109375" style="1" customWidth="1"/>
    <col min="15536" max="15536" width="11.7109375" style="1" customWidth="1"/>
    <col min="15537" max="15537" width="16.5703125" style="1" customWidth="1"/>
    <col min="15538" max="15538" width="11.7109375" style="1" customWidth="1"/>
    <col min="15539" max="15783" width="9.140625" style="1"/>
    <col min="15784" max="15784" width="82.42578125" style="1" customWidth="1"/>
    <col min="15785" max="15785" width="8.85546875" style="1" customWidth="1"/>
    <col min="15786" max="15786" width="11.5703125" style="1" customWidth="1"/>
    <col min="15787" max="15788" width="0" style="1" hidden="1" customWidth="1"/>
    <col min="15789" max="15789" width="16.7109375" style="1" customWidth="1"/>
    <col min="15790" max="15790" width="11.7109375" style="1" customWidth="1"/>
    <col min="15791" max="15791" width="16.7109375" style="1" customWidth="1"/>
    <col min="15792" max="15792" width="11.7109375" style="1" customWidth="1"/>
    <col min="15793" max="15793" width="16.5703125" style="1" customWidth="1"/>
    <col min="15794" max="15794" width="11.7109375" style="1" customWidth="1"/>
    <col min="15795" max="16039" width="9.140625" style="1"/>
    <col min="16040" max="16040" width="82.42578125" style="1" customWidth="1"/>
    <col min="16041" max="16041" width="8.85546875" style="1" customWidth="1"/>
    <col min="16042" max="16042" width="11.5703125" style="1" customWidth="1"/>
    <col min="16043" max="16044" width="0" style="1" hidden="1" customWidth="1"/>
    <col min="16045" max="16045" width="16.7109375" style="1" customWidth="1"/>
    <col min="16046" max="16046" width="11.7109375" style="1" customWidth="1"/>
    <col min="16047" max="16047" width="16.7109375" style="1" customWidth="1"/>
    <col min="16048" max="16048" width="11.7109375" style="1" customWidth="1"/>
    <col min="16049" max="16049" width="16.5703125" style="1" customWidth="1"/>
    <col min="16050" max="16050" width="11.7109375" style="1" customWidth="1"/>
    <col min="16051" max="16384" width="9.140625" style="1"/>
  </cols>
  <sheetData>
    <row r="1" spans="1:16" ht="20.25" customHeight="1" x14ac:dyDescent="0.25">
      <c r="A1" s="250" t="s">
        <v>138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</row>
    <row r="2" spans="1:16" ht="34.5" customHeight="1" thickBot="1" x14ac:dyDescent="0.3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</row>
    <row r="3" spans="1:16" ht="80.25" customHeight="1" x14ac:dyDescent="0.25">
      <c r="A3" s="251" t="s">
        <v>0</v>
      </c>
      <c r="B3" s="253" t="s">
        <v>1</v>
      </c>
      <c r="C3" s="255" t="s">
        <v>2</v>
      </c>
      <c r="D3" s="257" t="s">
        <v>3</v>
      </c>
      <c r="E3" s="259" t="s">
        <v>4</v>
      </c>
      <c r="F3" s="260"/>
      <c r="G3" s="261" t="s">
        <v>5</v>
      </c>
      <c r="H3" s="260"/>
      <c r="I3" s="259" t="s">
        <v>6</v>
      </c>
      <c r="J3" s="260"/>
      <c r="K3" s="259" t="s">
        <v>7</v>
      </c>
      <c r="L3" s="260"/>
      <c r="M3" s="259" t="s">
        <v>8</v>
      </c>
      <c r="N3" s="260"/>
      <c r="O3" s="259" t="s">
        <v>9</v>
      </c>
      <c r="P3" s="260"/>
    </row>
    <row r="4" spans="1:16" ht="57" customHeight="1" thickBot="1" x14ac:dyDescent="0.3">
      <c r="A4" s="252"/>
      <c r="B4" s="254"/>
      <c r="C4" s="256"/>
      <c r="D4" s="258"/>
      <c r="E4" s="2" t="s">
        <v>10</v>
      </c>
      <c r="F4" s="3" t="s">
        <v>11</v>
      </c>
      <c r="G4" s="4" t="s">
        <v>10</v>
      </c>
      <c r="H4" s="3" t="s">
        <v>11</v>
      </c>
      <c r="I4" s="2" t="s">
        <v>10</v>
      </c>
      <c r="J4" s="3" t="s">
        <v>11</v>
      </c>
      <c r="K4" s="2" t="s">
        <v>10</v>
      </c>
      <c r="L4" s="3" t="s">
        <v>11</v>
      </c>
      <c r="M4" s="2" t="s">
        <v>10</v>
      </c>
      <c r="N4" s="3" t="s">
        <v>11</v>
      </c>
      <c r="O4" s="2" t="s">
        <v>10</v>
      </c>
      <c r="P4" s="3" t="s">
        <v>11</v>
      </c>
    </row>
    <row r="5" spans="1:16" ht="45" customHeight="1" x14ac:dyDescent="0.25">
      <c r="A5" s="5" t="s">
        <v>12</v>
      </c>
      <c r="B5" s="19" t="s">
        <v>14</v>
      </c>
      <c r="C5" s="6"/>
      <c r="D5" s="7" t="s">
        <v>13</v>
      </c>
      <c r="E5" s="8">
        <v>159.76302000000001</v>
      </c>
      <c r="F5" s="9"/>
      <c r="G5" s="10">
        <f>G6</f>
        <v>1.0000000000000001E-5</v>
      </c>
      <c r="H5" s="11"/>
      <c r="I5" s="12">
        <f>I9</f>
        <v>1.0000000000000001E-5</v>
      </c>
      <c r="J5" s="11"/>
      <c r="K5" s="12">
        <f>K14</f>
        <v>5.5649730510021946</v>
      </c>
      <c r="L5" s="11"/>
      <c r="M5" s="12">
        <f>M14</f>
        <v>5.9883514364070409</v>
      </c>
      <c r="N5" s="11"/>
      <c r="O5" s="12">
        <f>O14</f>
        <v>148.20967551259076</v>
      </c>
      <c r="P5" s="9"/>
    </row>
    <row r="6" spans="1:16" ht="48.75" customHeight="1" outlineLevel="1" x14ac:dyDescent="0.25">
      <c r="A6" s="13">
        <v>3</v>
      </c>
      <c r="B6" s="22" t="s">
        <v>15</v>
      </c>
      <c r="C6" s="23" t="s">
        <v>16</v>
      </c>
      <c r="D6" s="7" t="s">
        <v>13</v>
      </c>
      <c r="E6" s="24">
        <f>E7</f>
        <v>1.0000000000000001E-5</v>
      </c>
      <c r="F6" s="14"/>
      <c r="G6" s="20">
        <f>E6</f>
        <v>1.0000000000000001E-5</v>
      </c>
      <c r="H6" s="16"/>
      <c r="I6" s="25">
        <v>0</v>
      </c>
      <c r="J6" s="26"/>
      <c r="K6" s="25">
        <v>0</v>
      </c>
      <c r="L6" s="26"/>
      <c r="M6" s="25">
        <v>0</v>
      </c>
      <c r="N6" s="26"/>
      <c r="O6" s="25">
        <v>0</v>
      </c>
      <c r="P6" s="18"/>
    </row>
    <row r="7" spans="1:16" ht="40.5" hidden="1" outlineLevel="1" x14ac:dyDescent="0.25">
      <c r="A7" s="27" t="s">
        <v>17</v>
      </c>
      <c r="B7" s="28" t="s">
        <v>18</v>
      </c>
      <c r="C7" s="29"/>
      <c r="D7" s="30" t="s">
        <v>19</v>
      </c>
      <c r="E7" s="31">
        <v>1.0000000000000001E-5</v>
      </c>
      <c r="F7" s="14"/>
      <c r="G7" s="32">
        <f>E7</f>
        <v>1.0000000000000001E-5</v>
      </c>
      <c r="H7" s="16"/>
      <c r="I7" s="25"/>
      <c r="J7" s="26"/>
      <c r="K7" s="25"/>
      <c r="L7" s="26"/>
      <c r="M7" s="25"/>
      <c r="N7" s="26"/>
      <c r="O7" s="25"/>
      <c r="P7" s="18"/>
    </row>
    <row r="8" spans="1:16" ht="40.5" hidden="1" customHeight="1" outlineLevel="1" x14ac:dyDescent="0.25">
      <c r="A8" s="27" t="s">
        <v>20</v>
      </c>
      <c r="B8" s="33" t="s">
        <v>21</v>
      </c>
      <c r="C8" s="29"/>
      <c r="D8" s="30" t="s">
        <v>19</v>
      </c>
      <c r="E8" s="34">
        <v>0</v>
      </c>
      <c r="F8" s="14"/>
      <c r="G8" s="15">
        <f>E8</f>
        <v>0</v>
      </c>
      <c r="H8" s="16"/>
      <c r="I8" s="35">
        <v>0</v>
      </c>
      <c r="J8" s="26"/>
      <c r="K8" s="35">
        <v>0</v>
      </c>
      <c r="L8" s="26"/>
      <c r="M8" s="35">
        <v>0</v>
      </c>
      <c r="N8" s="26"/>
      <c r="O8" s="35">
        <v>0</v>
      </c>
      <c r="P8" s="18"/>
    </row>
    <row r="9" spans="1:16" ht="45" customHeight="1" outlineLevel="1" x14ac:dyDescent="0.25">
      <c r="A9" s="13">
        <v>5</v>
      </c>
      <c r="B9" s="22" t="s">
        <v>22</v>
      </c>
      <c r="C9" s="23" t="s">
        <v>23</v>
      </c>
      <c r="D9" s="7" t="s">
        <v>13</v>
      </c>
      <c r="E9" s="226">
        <f>E11+E12+E13</f>
        <v>1.0000000000000001E-5</v>
      </c>
      <c r="F9" s="14"/>
      <c r="G9" s="37"/>
      <c r="H9" s="16"/>
      <c r="I9" s="38">
        <f>I11+I12+I13</f>
        <v>1.0000000000000001E-5</v>
      </c>
      <c r="J9" s="16"/>
      <c r="K9" s="17">
        <f>K11+K12+K13</f>
        <v>0</v>
      </c>
      <c r="L9" s="16"/>
      <c r="M9" s="17">
        <f>M11+M12+M13</f>
        <v>0</v>
      </c>
      <c r="N9" s="16"/>
      <c r="O9" s="17">
        <f>O11+O12+O13</f>
        <v>0</v>
      </c>
      <c r="P9" s="18"/>
    </row>
    <row r="10" spans="1:16" ht="20.25" hidden="1" outlineLevel="1" x14ac:dyDescent="0.25">
      <c r="A10" s="13"/>
      <c r="B10" s="39" t="s">
        <v>24</v>
      </c>
      <c r="C10" s="36"/>
      <c r="D10" s="30"/>
      <c r="E10" s="40"/>
      <c r="F10" s="14"/>
      <c r="G10" s="37"/>
      <c r="H10" s="16"/>
      <c r="I10" s="17"/>
      <c r="J10" s="16"/>
      <c r="K10" s="17"/>
      <c r="L10" s="16"/>
      <c r="M10" s="17"/>
      <c r="N10" s="16"/>
      <c r="O10" s="17"/>
      <c r="P10" s="18"/>
    </row>
    <row r="11" spans="1:16" ht="44.25" hidden="1" customHeight="1" outlineLevel="1" x14ac:dyDescent="0.25">
      <c r="A11" s="41" t="s">
        <v>25</v>
      </c>
      <c r="B11" s="39" t="s">
        <v>26</v>
      </c>
      <c r="C11" s="23"/>
      <c r="D11" s="30" t="s">
        <v>19</v>
      </c>
      <c r="E11" s="42">
        <v>1.0000000000000001E-5</v>
      </c>
      <c r="F11" s="14"/>
      <c r="G11" s="37"/>
      <c r="H11" s="16"/>
      <c r="I11" s="17">
        <f>E11</f>
        <v>1.0000000000000001E-5</v>
      </c>
      <c r="J11" s="16"/>
      <c r="K11" s="17">
        <v>0</v>
      </c>
      <c r="L11" s="16"/>
      <c r="M11" s="17">
        <v>0</v>
      </c>
      <c r="N11" s="16"/>
      <c r="O11" s="17">
        <v>0</v>
      </c>
      <c r="P11" s="18"/>
    </row>
    <row r="12" spans="1:16" ht="36.75" hidden="1" customHeight="1" outlineLevel="1" x14ac:dyDescent="0.25">
      <c r="A12" s="41" t="s">
        <v>27</v>
      </c>
      <c r="B12" s="39" t="s">
        <v>28</v>
      </c>
      <c r="C12" s="23"/>
      <c r="D12" s="30" t="s">
        <v>19</v>
      </c>
      <c r="E12" s="43">
        <f>'[1]Volume lunare 2026'!M18-'[1]Volume lunare 2026'!O18</f>
        <v>0</v>
      </c>
      <c r="F12" s="44"/>
      <c r="G12" s="37"/>
      <c r="H12" s="16"/>
      <c r="I12" s="17">
        <f>E12</f>
        <v>0</v>
      </c>
      <c r="J12" s="16"/>
      <c r="K12" s="17">
        <v>0</v>
      </c>
      <c r="L12" s="16"/>
      <c r="M12" s="17">
        <v>0</v>
      </c>
      <c r="N12" s="16"/>
      <c r="O12" s="17">
        <v>0</v>
      </c>
      <c r="P12" s="18"/>
    </row>
    <row r="13" spans="1:16" ht="24" hidden="1" outlineLevel="1" x14ac:dyDescent="0.25">
      <c r="A13" s="41" t="s">
        <v>29</v>
      </c>
      <c r="B13" s="39" t="s">
        <v>30</v>
      </c>
      <c r="C13" s="23"/>
      <c r="D13" s="30" t="s">
        <v>19</v>
      </c>
      <c r="E13" s="43">
        <f>'[1]Volume lunare 2026'!M16+'[1]Volume lunare 2026'!M17-'[1]Volume lunare 2026'!O16-'[1]Volume lunare 2026'!O17</f>
        <v>0</v>
      </c>
      <c r="F13" s="14"/>
      <c r="G13" s="37"/>
      <c r="H13" s="16"/>
      <c r="I13" s="17">
        <f>E13</f>
        <v>0</v>
      </c>
      <c r="J13" s="16"/>
      <c r="K13" s="17">
        <v>0</v>
      </c>
      <c r="L13" s="16"/>
      <c r="M13" s="17">
        <v>0</v>
      </c>
      <c r="N13" s="16"/>
      <c r="O13" s="17">
        <v>0</v>
      </c>
      <c r="P13" s="18"/>
    </row>
    <row r="14" spans="1:16" s="52" customFormat="1" ht="66" customHeight="1" outlineLevel="1" x14ac:dyDescent="0.25">
      <c r="A14" s="45">
        <v>2</v>
      </c>
      <c r="B14" s="19" t="s">
        <v>31</v>
      </c>
      <c r="C14" s="46" t="s">
        <v>32</v>
      </c>
      <c r="D14" s="47" t="s">
        <v>13</v>
      </c>
      <c r="E14" s="48">
        <f>E15+E16+E17</f>
        <v>159.76300000000001</v>
      </c>
      <c r="F14" s="49"/>
      <c r="G14" s="20"/>
      <c r="H14" s="50"/>
      <c r="I14" s="21"/>
      <c r="J14" s="50"/>
      <c r="K14" s="21">
        <f>K15</f>
        <v>5.5649730510021946</v>
      </c>
      <c r="L14" s="51"/>
      <c r="M14" s="21">
        <f>M16</f>
        <v>5.9883514364070409</v>
      </c>
      <c r="N14" s="51"/>
      <c r="O14" s="21">
        <f>O17</f>
        <v>148.20967551259076</v>
      </c>
      <c r="P14" s="50"/>
    </row>
    <row r="15" spans="1:16" s="58" customFormat="1" ht="33" customHeight="1" outlineLevel="1" x14ac:dyDescent="0.25">
      <c r="A15" s="53" t="s">
        <v>33</v>
      </c>
      <c r="B15" s="54" t="s">
        <v>34</v>
      </c>
      <c r="C15" s="55" t="s">
        <v>35</v>
      </c>
      <c r="D15" s="56" t="s">
        <v>19</v>
      </c>
      <c r="E15" s="43">
        <f>'[1]Volume lunare 2026'!R22</f>
        <v>5.5649730510021946</v>
      </c>
      <c r="F15" s="57"/>
      <c r="G15" s="15"/>
      <c r="H15" s="18"/>
      <c r="I15" s="17"/>
      <c r="J15" s="18"/>
      <c r="K15" s="17">
        <f>E15</f>
        <v>5.5649730510021946</v>
      </c>
      <c r="L15" s="16"/>
      <c r="M15" s="17"/>
      <c r="N15" s="16"/>
      <c r="O15" s="17"/>
      <c r="P15" s="18"/>
    </row>
    <row r="16" spans="1:16" ht="36" customHeight="1" outlineLevel="1" x14ac:dyDescent="0.25">
      <c r="A16" s="53" t="s">
        <v>36</v>
      </c>
      <c r="B16" s="54" t="s">
        <v>37</v>
      </c>
      <c r="C16" s="55" t="s">
        <v>38</v>
      </c>
      <c r="D16" s="56" t="s">
        <v>19</v>
      </c>
      <c r="E16" s="43">
        <f>'[1]Volume lunare 2026'!R23</f>
        <v>5.9883514364070409</v>
      </c>
      <c r="F16" s="57"/>
      <c r="G16" s="15"/>
      <c r="H16" s="18"/>
      <c r="I16" s="17"/>
      <c r="J16" s="18"/>
      <c r="K16" s="17"/>
      <c r="L16" s="16"/>
      <c r="M16" s="17">
        <f>E16</f>
        <v>5.9883514364070409</v>
      </c>
      <c r="N16" s="16"/>
      <c r="O16" s="17"/>
      <c r="P16" s="18"/>
    </row>
    <row r="17" spans="1:16" ht="33" customHeight="1" outlineLevel="1" x14ac:dyDescent="0.25">
      <c r="A17" s="53" t="s">
        <v>39</v>
      </c>
      <c r="B17" s="54" t="s">
        <v>40</v>
      </c>
      <c r="C17" s="55" t="s">
        <v>41</v>
      </c>
      <c r="D17" s="56" t="s">
        <v>19</v>
      </c>
      <c r="E17" s="43">
        <f>'[1]Volume lunare 2026'!R24</f>
        <v>148.20967551259076</v>
      </c>
      <c r="F17" s="57"/>
      <c r="G17" s="15"/>
      <c r="H17" s="18"/>
      <c r="I17" s="17"/>
      <c r="J17" s="18"/>
      <c r="K17" s="17"/>
      <c r="L17" s="16"/>
      <c r="M17" s="17"/>
      <c r="N17" s="16"/>
      <c r="O17" s="17">
        <f>E17</f>
        <v>148.20967551259076</v>
      </c>
      <c r="P17" s="18"/>
    </row>
    <row r="18" spans="1:16" ht="39" customHeight="1" x14ac:dyDescent="0.25">
      <c r="A18" s="262">
        <v>3</v>
      </c>
      <c r="B18" s="59" t="s">
        <v>42</v>
      </c>
      <c r="C18" s="36" t="s">
        <v>43</v>
      </c>
      <c r="D18" s="30" t="s">
        <v>44</v>
      </c>
      <c r="E18" s="60">
        <v>20.3</v>
      </c>
      <c r="F18" s="57"/>
      <c r="G18" s="37"/>
      <c r="H18" s="61"/>
      <c r="I18" s="62"/>
      <c r="J18" s="61"/>
      <c r="K18" s="62"/>
      <c r="L18" s="61"/>
      <c r="M18" s="62"/>
      <c r="N18" s="61"/>
      <c r="O18" s="62"/>
      <c r="P18" s="18"/>
    </row>
    <row r="19" spans="1:16" ht="35.450000000000003" customHeight="1" x14ac:dyDescent="0.25">
      <c r="A19" s="263"/>
      <c r="B19" s="265" t="s">
        <v>45</v>
      </c>
      <c r="C19" s="266" t="s">
        <v>46</v>
      </c>
      <c r="D19" s="63" t="s">
        <v>47</v>
      </c>
      <c r="E19" s="64">
        <f>'[1]cost gaz 2026'!J19</f>
        <v>839.88365065753646</v>
      </c>
      <c r="F19" s="57"/>
      <c r="G19" s="65"/>
      <c r="H19" s="66"/>
      <c r="I19" s="67"/>
      <c r="J19" s="66"/>
      <c r="K19" s="67"/>
      <c r="L19" s="66"/>
      <c r="M19" s="67"/>
      <c r="N19" s="66"/>
      <c r="O19" s="67"/>
      <c r="P19" s="66"/>
    </row>
    <row r="20" spans="1:16" ht="32.450000000000003" customHeight="1" x14ac:dyDescent="0.25">
      <c r="A20" s="263"/>
      <c r="B20" s="265"/>
      <c r="C20" s="266"/>
      <c r="D20" s="30" t="s">
        <v>48</v>
      </c>
      <c r="E20" s="68">
        <f>E19*E18</f>
        <v>17049.63810834799</v>
      </c>
      <c r="F20" s="57"/>
      <c r="G20" s="69"/>
      <c r="H20" s="70"/>
      <c r="I20" s="35"/>
      <c r="J20" s="70"/>
      <c r="K20" s="35"/>
      <c r="L20" s="70"/>
      <c r="M20" s="35"/>
      <c r="N20" s="70"/>
      <c r="O20" s="35"/>
      <c r="P20" s="70"/>
    </row>
    <row r="21" spans="1:16" ht="25.5" customHeight="1" x14ac:dyDescent="0.25">
      <c r="A21" s="263"/>
      <c r="B21" s="267" t="s">
        <v>49</v>
      </c>
      <c r="C21" s="268" t="s">
        <v>50</v>
      </c>
      <c r="D21" s="71" t="s">
        <v>51</v>
      </c>
      <c r="E21" s="72">
        <f>E19*E5</f>
        <v>134182.34847767302</v>
      </c>
      <c r="F21" s="73"/>
      <c r="G21" s="74"/>
      <c r="H21" s="18"/>
      <c r="I21" s="75"/>
      <c r="J21" s="26"/>
      <c r="K21" s="75"/>
      <c r="L21" s="26"/>
      <c r="M21" s="75"/>
      <c r="N21" s="26"/>
      <c r="O21" s="75"/>
      <c r="P21" s="26"/>
    </row>
    <row r="22" spans="1:16" ht="45" customHeight="1" x14ac:dyDescent="0.25">
      <c r="A22" s="264"/>
      <c r="B22" s="267"/>
      <c r="C22" s="268"/>
      <c r="D22" s="71" t="s">
        <v>52</v>
      </c>
      <c r="E22" s="76">
        <f>E21*E18</f>
        <v>2723901.6740967622</v>
      </c>
      <c r="F22" s="77">
        <f>E22/E5</f>
        <v>17049.63810834799</v>
      </c>
      <c r="G22" s="78">
        <f>F22*G5</f>
        <v>0.17049638108347992</v>
      </c>
      <c r="H22" s="79">
        <f>F22</f>
        <v>17049.63810834799</v>
      </c>
      <c r="I22" s="80">
        <f>F22*I5</f>
        <v>0.17049638108347992</v>
      </c>
      <c r="J22" s="79">
        <f>I22/I5</f>
        <v>17049.63810834799</v>
      </c>
      <c r="K22" s="80">
        <f>F22*K5</f>
        <v>94880.776602296595</v>
      </c>
      <c r="L22" s="79">
        <f>K22/K5</f>
        <v>17049.63810834799</v>
      </c>
      <c r="M22" s="80">
        <f>F22*M5</f>
        <v>102099.22485634591</v>
      </c>
      <c r="N22" s="79">
        <f>M22/M5</f>
        <v>17049.63810834799</v>
      </c>
      <c r="O22" s="80">
        <f>F22*O5</f>
        <v>2526921.3316453574</v>
      </c>
      <c r="P22" s="79">
        <f>O22/O5</f>
        <v>17049.63810834799</v>
      </c>
    </row>
    <row r="23" spans="1:16" ht="68.25" customHeight="1" x14ac:dyDescent="0.25">
      <c r="A23" s="81" t="s">
        <v>53</v>
      </c>
      <c r="B23" s="82" t="s">
        <v>54</v>
      </c>
      <c r="C23" s="83" t="s">
        <v>55</v>
      </c>
      <c r="D23" s="71" t="s">
        <v>52</v>
      </c>
      <c r="E23" s="76">
        <v>93836.162453714962</v>
      </c>
      <c r="F23" s="77">
        <f>E23/E5</f>
        <v>587.34594810310273</v>
      </c>
      <c r="G23" s="84">
        <v>0</v>
      </c>
      <c r="H23" s="85">
        <v>0</v>
      </c>
      <c r="I23" s="86">
        <f>J23*I5</f>
        <v>5.8734594810310277E-3</v>
      </c>
      <c r="J23" s="85">
        <f>F23</f>
        <v>587.34594810310273</v>
      </c>
      <c r="K23" s="86">
        <f>L23*K5</f>
        <v>3268.5643728091004</v>
      </c>
      <c r="L23" s="85">
        <f>F23</f>
        <v>587.34594810310273</v>
      </c>
      <c r="M23" s="86">
        <f>N23*M5</f>
        <v>3517.2339519910706</v>
      </c>
      <c r="N23" s="85">
        <f>L23</f>
        <v>587.34594810310273</v>
      </c>
      <c r="O23" s="86">
        <f>P23*O5</f>
        <v>87050.352381995835</v>
      </c>
      <c r="P23" s="85">
        <f>N23</f>
        <v>587.34594810310273</v>
      </c>
    </row>
    <row r="24" spans="1:16" ht="66" customHeight="1" x14ac:dyDescent="0.25">
      <c r="A24" s="87">
        <v>5</v>
      </c>
      <c r="B24" s="82" t="s">
        <v>56</v>
      </c>
      <c r="C24" s="83" t="s">
        <v>57</v>
      </c>
      <c r="D24" s="71" t="s">
        <v>52</v>
      </c>
      <c r="E24" s="88">
        <f>E25+E26+E27</f>
        <v>748176.8866553359</v>
      </c>
      <c r="F24" s="85">
        <f>E24/E14</f>
        <v>4683.0422979997611</v>
      </c>
      <c r="G24" s="84">
        <f>SUM(G25:G27)</f>
        <v>0</v>
      </c>
      <c r="H24" s="85">
        <v>0</v>
      </c>
      <c r="I24" s="86">
        <f>SUM(I25:I27)</f>
        <v>0</v>
      </c>
      <c r="J24" s="85">
        <f>J25</f>
        <v>0</v>
      </c>
      <c r="K24" s="86">
        <f>K25</f>
        <v>2198.1643551458669</v>
      </c>
      <c r="L24" s="85">
        <f>L25</f>
        <v>395</v>
      </c>
      <c r="M24" s="86">
        <f>M26</f>
        <v>8760.9581514635011</v>
      </c>
      <c r="N24" s="85">
        <f>N26</f>
        <v>1463</v>
      </c>
      <c r="O24" s="86">
        <f>O27</f>
        <v>737217.76414872648</v>
      </c>
      <c r="P24" s="85">
        <f>P27</f>
        <v>4974.1540935098947</v>
      </c>
    </row>
    <row r="25" spans="1:16" ht="24.75" customHeight="1" outlineLevel="1" x14ac:dyDescent="0.25">
      <c r="A25" s="89">
        <v>5.0999999999999996</v>
      </c>
      <c r="B25" s="90" t="s">
        <v>58</v>
      </c>
      <c r="C25" s="91" t="s">
        <v>59</v>
      </c>
      <c r="D25" s="92" t="s">
        <v>52</v>
      </c>
      <c r="E25" s="93">
        <f>'[1]Cost distribuție'!E25</f>
        <v>2198.1643551458669</v>
      </c>
      <c r="F25" s="94"/>
      <c r="G25" s="95"/>
      <c r="H25" s="94"/>
      <c r="I25" s="93"/>
      <c r="J25" s="94"/>
      <c r="K25" s="93">
        <f>E25</f>
        <v>2198.1643551458669</v>
      </c>
      <c r="L25" s="94">
        <f>K25/K5</f>
        <v>395</v>
      </c>
      <c r="M25" s="93"/>
      <c r="N25" s="94"/>
      <c r="O25" s="93"/>
      <c r="P25" s="94"/>
    </row>
    <row r="26" spans="1:16" ht="30" customHeight="1" outlineLevel="1" x14ac:dyDescent="0.25">
      <c r="A26" s="89">
        <v>5.2</v>
      </c>
      <c r="B26" s="96" t="s">
        <v>60</v>
      </c>
      <c r="C26" s="91" t="s">
        <v>61</v>
      </c>
      <c r="D26" s="92" t="s">
        <v>52</v>
      </c>
      <c r="E26" s="93">
        <f>'[1]Cost distribuție'!E26</f>
        <v>8760.9581514635011</v>
      </c>
      <c r="F26" s="94"/>
      <c r="G26" s="95"/>
      <c r="H26" s="94"/>
      <c r="I26" s="93"/>
      <c r="J26" s="94"/>
      <c r="K26" s="93"/>
      <c r="L26" s="94"/>
      <c r="M26" s="93">
        <f>E26</f>
        <v>8760.9581514635011</v>
      </c>
      <c r="N26" s="94">
        <f>M26/M5</f>
        <v>1463</v>
      </c>
      <c r="O26" s="93"/>
      <c r="P26" s="94"/>
    </row>
    <row r="27" spans="1:16" ht="29.25" customHeight="1" outlineLevel="1" x14ac:dyDescent="0.25">
      <c r="A27" s="89">
        <v>5.3</v>
      </c>
      <c r="B27" s="96" t="s">
        <v>62</v>
      </c>
      <c r="C27" s="91" t="s">
        <v>63</v>
      </c>
      <c r="D27" s="92" t="s">
        <v>52</v>
      </c>
      <c r="E27" s="93">
        <f>'[1]Cost distribuție'!E27</f>
        <v>737217.76414872648</v>
      </c>
      <c r="F27" s="94"/>
      <c r="G27" s="95"/>
      <c r="H27" s="94"/>
      <c r="I27" s="93"/>
      <c r="J27" s="94"/>
      <c r="K27" s="93"/>
      <c r="L27" s="94"/>
      <c r="M27" s="93"/>
      <c r="N27" s="94"/>
      <c r="O27" s="93">
        <f>E27</f>
        <v>737217.76414872648</v>
      </c>
      <c r="P27" s="94">
        <f>O27/O5</f>
        <v>4974.1540935098947</v>
      </c>
    </row>
    <row r="28" spans="1:16" ht="66.75" customHeight="1" x14ac:dyDescent="0.25">
      <c r="A28" s="97">
        <v>6</v>
      </c>
      <c r="B28" s="82" t="s">
        <v>64</v>
      </c>
      <c r="C28" s="36" t="s">
        <v>65</v>
      </c>
      <c r="D28" s="71" t="s">
        <v>52</v>
      </c>
      <c r="E28" s="76">
        <v>61133.910698623098</v>
      </c>
      <c r="F28" s="77">
        <f>E28/E5</f>
        <v>382.65369982755141</v>
      </c>
      <c r="G28" s="78">
        <f>F28*G5</f>
        <v>3.8265369982755145E-3</v>
      </c>
      <c r="H28" s="98">
        <f>G28/G5</f>
        <v>382.65369982755141</v>
      </c>
      <c r="I28" s="80">
        <f>F28*I5</f>
        <v>3.8265369982755145E-3</v>
      </c>
      <c r="J28" s="99">
        <f>I28/I5</f>
        <v>382.65369982755141</v>
      </c>
      <c r="K28" s="80">
        <f>F28*K5</f>
        <v>2129.4575274066069</v>
      </c>
      <c r="L28" s="99">
        <f>K28/K5</f>
        <v>382.65369982755146</v>
      </c>
      <c r="M28" s="80">
        <f>F28*M5</f>
        <v>2291.4648330087862</v>
      </c>
      <c r="N28" s="99">
        <f>M28/M5</f>
        <v>382.65369982755141</v>
      </c>
      <c r="O28" s="80">
        <f>F28*O5</f>
        <v>56712.980685133705</v>
      </c>
      <c r="P28" s="99">
        <f>O28/O5</f>
        <v>382.65369982755141</v>
      </c>
    </row>
    <row r="29" spans="1:16" ht="66.75" customHeight="1" x14ac:dyDescent="0.25">
      <c r="A29" s="45">
        <v>7</v>
      </c>
      <c r="B29" s="19" t="s">
        <v>66</v>
      </c>
      <c r="C29" s="36" t="s">
        <v>67</v>
      </c>
      <c r="D29" s="71" t="s">
        <v>52</v>
      </c>
      <c r="E29" s="100">
        <f>E22+E23+E24+E28</f>
        <v>3627048.6339044357</v>
      </c>
      <c r="F29" s="101">
        <f>E29/E5</f>
        <v>22702.679468029808</v>
      </c>
      <c r="G29" s="102">
        <f>G22+G23+G24+G28</f>
        <v>0.17432291808175543</v>
      </c>
      <c r="H29" s="101">
        <f>G29/G5</f>
        <v>17432.291808175542</v>
      </c>
      <c r="I29" s="100">
        <f>I22+I23+I24+I28</f>
        <v>0.18019637756278645</v>
      </c>
      <c r="J29" s="101">
        <f>I29/I5</f>
        <v>18019.637756278644</v>
      </c>
      <c r="K29" s="100">
        <f>K22+K23+K24+K28</f>
        <v>102476.96285765816</v>
      </c>
      <c r="L29" s="101">
        <f>K29/K5</f>
        <v>18414.63775627864</v>
      </c>
      <c r="M29" s="100">
        <f>M22+M23+M24+M28</f>
        <v>116668.88179280928</v>
      </c>
      <c r="N29" s="101">
        <f>M29/M5</f>
        <v>19482.637756278644</v>
      </c>
      <c r="O29" s="100">
        <f>O22+O23+O24+O28</f>
        <v>3407902.4288612134</v>
      </c>
      <c r="P29" s="101">
        <f>O29/O5</f>
        <v>22993.791849788537</v>
      </c>
    </row>
    <row r="30" spans="1:16" ht="45" customHeight="1" x14ac:dyDescent="0.25">
      <c r="A30" s="97">
        <v>8</v>
      </c>
      <c r="B30" s="82" t="s">
        <v>68</v>
      </c>
      <c r="C30" s="83" t="s">
        <v>69</v>
      </c>
      <c r="D30" s="71" t="s">
        <v>52</v>
      </c>
      <c r="E30" s="103">
        <v>25884.808007963125</v>
      </c>
      <c r="F30" s="73">
        <f>E30/E5</f>
        <v>162.0200219547873</v>
      </c>
      <c r="G30" s="104">
        <f>E30/(E5)*G6</f>
        <v>1.6202002195478732E-3</v>
      </c>
      <c r="H30" s="79">
        <f>F30</f>
        <v>162.0200219547873</v>
      </c>
      <c r="I30" s="104">
        <f>E30/(E5)*I5</f>
        <v>1.6202002195478732E-3</v>
      </c>
      <c r="J30" s="79">
        <f>I30/I5</f>
        <v>162.0200219547873</v>
      </c>
      <c r="K30" s="105">
        <f>E30/(E5)*K5</f>
        <v>901.63705590117524</v>
      </c>
      <c r="L30" s="79">
        <f>K30/K5</f>
        <v>162.0200219547873</v>
      </c>
      <c r="M30" s="105">
        <f>E30/(E5)*M5</f>
        <v>970.23283119965083</v>
      </c>
      <c r="N30" s="79">
        <f>M30/M5</f>
        <v>162.0200219547873</v>
      </c>
      <c r="O30" s="105">
        <f>E30/(E5)*O5</f>
        <v>24012.934880461857</v>
      </c>
      <c r="P30" s="79">
        <f>O30/O5</f>
        <v>162.0200219547873</v>
      </c>
    </row>
    <row r="31" spans="1:16" ht="30" customHeight="1" thickBot="1" x14ac:dyDescent="0.3">
      <c r="A31" s="106">
        <v>8.1</v>
      </c>
      <c r="B31" s="107" t="s">
        <v>70</v>
      </c>
      <c r="C31" s="108" t="s">
        <v>71</v>
      </c>
      <c r="D31" s="109" t="s">
        <v>72</v>
      </c>
      <c r="E31" s="110">
        <v>9.9200236590909086</v>
      </c>
      <c r="F31" s="73"/>
      <c r="G31" s="111"/>
      <c r="H31" s="79"/>
      <c r="I31" s="104"/>
      <c r="J31" s="79"/>
      <c r="K31" s="105"/>
      <c r="L31" s="79"/>
      <c r="M31" s="105"/>
      <c r="N31" s="79"/>
      <c r="O31" s="105"/>
      <c r="P31" s="79"/>
    </row>
    <row r="32" spans="1:16" ht="44.25" customHeight="1" thickBot="1" x14ac:dyDescent="0.3">
      <c r="A32" s="112" t="s">
        <v>73</v>
      </c>
      <c r="B32" s="113" t="s">
        <v>74</v>
      </c>
      <c r="C32" s="114" t="s">
        <v>75</v>
      </c>
      <c r="D32" s="115" t="s">
        <v>52</v>
      </c>
      <c r="E32" s="116">
        <f>E29+E30</f>
        <v>3652933.4419123987</v>
      </c>
      <c r="F32" s="117">
        <f>E32/E5</f>
        <v>22864.699489984592</v>
      </c>
      <c r="G32" s="118">
        <f>G30+G29</f>
        <v>0.1759431183013033</v>
      </c>
      <c r="H32" s="117">
        <f>G32/G5</f>
        <v>17594.311830130329</v>
      </c>
      <c r="I32" s="116">
        <f t="shared" ref="I32" si="0">I30+I29</f>
        <v>0.18181657778233432</v>
      </c>
      <c r="J32" s="117">
        <f>I32/I5</f>
        <v>18181.657778233432</v>
      </c>
      <c r="K32" s="116">
        <f t="shared" ref="K32" si="1">K30+K29</f>
        <v>103378.59991355933</v>
      </c>
      <c r="L32" s="117">
        <f>K32/K5</f>
        <v>18576.657778233428</v>
      </c>
      <c r="M32" s="116">
        <f t="shared" ref="M32" si="2">M30+M29</f>
        <v>117639.11462400893</v>
      </c>
      <c r="N32" s="117">
        <f>M32/M5</f>
        <v>19644.657778233432</v>
      </c>
      <c r="O32" s="116">
        <f t="shared" ref="O32" si="3">O30+O29</f>
        <v>3431915.3637416754</v>
      </c>
      <c r="P32" s="117">
        <f>O32/O5</f>
        <v>23155.811871743328</v>
      </c>
    </row>
    <row r="33" spans="1:16" s="58" customFormat="1" ht="66" customHeight="1" x14ac:dyDescent="0.25">
      <c r="A33" s="119" t="s">
        <v>76</v>
      </c>
      <c r="B33" s="120" t="s">
        <v>77</v>
      </c>
      <c r="C33" s="121" t="s">
        <v>78</v>
      </c>
      <c r="D33" s="122" t="s">
        <v>52</v>
      </c>
      <c r="E33" s="123">
        <v>-14859.18641389197</v>
      </c>
      <c r="F33" s="124">
        <f>E33/E5</f>
        <v>-93.007671073643763</v>
      </c>
      <c r="G33" s="127">
        <f>E33/$E$5*G5</f>
        <v>-9.3007671073643775E-4</v>
      </c>
      <c r="H33" s="126">
        <f>F33</f>
        <v>-93.007671073643763</v>
      </c>
      <c r="I33" s="125">
        <f>E33/E5*I5</f>
        <v>-9.3007671073643775E-4</v>
      </c>
      <c r="J33" s="126">
        <f>F33</f>
        <v>-93.007671073643763</v>
      </c>
      <c r="K33" s="127">
        <f>E33/E5*K5</f>
        <v>-517.58518306130395</v>
      </c>
      <c r="L33" s="126">
        <f>F33</f>
        <v>-93.007671073643763</v>
      </c>
      <c r="M33" s="127">
        <f>E33/E5*M5</f>
        <v>-556.96262067072826</v>
      </c>
      <c r="N33" s="126">
        <f>F33</f>
        <v>-93.007671073643763</v>
      </c>
      <c r="O33" s="127">
        <f>E33/E5*O5</f>
        <v>-13784.636750006517</v>
      </c>
      <c r="P33" s="126">
        <f>F33</f>
        <v>-93.007671073643763</v>
      </c>
    </row>
    <row r="34" spans="1:16" ht="49.5" customHeight="1" outlineLevel="1" thickBot="1" x14ac:dyDescent="0.3">
      <c r="A34" s="128" t="s">
        <v>79</v>
      </c>
      <c r="B34" s="129" t="s">
        <v>80</v>
      </c>
      <c r="C34" s="130" t="s">
        <v>81</v>
      </c>
      <c r="D34" s="131" t="s">
        <v>52</v>
      </c>
      <c r="E34" s="132">
        <f>-'[2]Tarif 2026 ANRE'!$D$67</f>
        <v>182030.6458364306</v>
      </c>
      <c r="F34" s="133">
        <f>E34/E5</f>
        <v>1139.3790993462103</v>
      </c>
      <c r="G34" s="144">
        <f>E34/$E$5*G5</f>
        <v>1.1393790993462103E-2</v>
      </c>
      <c r="H34" s="134">
        <f>F34</f>
        <v>1139.3790993462103</v>
      </c>
      <c r="I34" s="135">
        <f>E34/E5*I5</f>
        <v>1.1393790993462103E-2</v>
      </c>
      <c r="J34" s="134">
        <f>F34</f>
        <v>1139.3790993462103</v>
      </c>
      <c r="K34" s="136">
        <f>E34/E5*K5</f>
        <v>6340.6139827368124</v>
      </c>
      <c r="L34" s="134">
        <f>F34</f>
        <v>1139.3790993462103</v>
      </c>
      <c r="M34" s="136">
        <f>E34/E5*M5</f>
        <v>6823.0024661820389</v>
      </c>
      <c r="N34" s="134">
        <f>F34</f>
        <v>1139.3790993462103</v>
      </c>
      <c r="O34" s="136">
        <f>E34/E5*O5</f>
        <v>168867.00659992974</v>
      </c>
      <c r="P34" s="134">
        <f>F34</f>
        <v>1139.3790993462103</v>
      </c>
    </row>
    <row r="35" spans="1:16" ht="75" customHeight="1" outlineLevel="1" thickBot="1" x14ac:dyDescent="0.3">
      <c r="A35" s="112" t="s">
        <v>82</v>
      </c>
      <c r="B35" s="113" t="s">
        <v>83</v>
      </c>
      <c r="C35" s="114" t="s">
        <v>75</v>
      </c>
      <c r="D35" s="115" t="s">
        <v>52</v>
      </c>
      <c r="E35" s="137">
        <f>E23+E24+E28+E30+E33+E22+E34</f>
        <v>3820104.9013349377</v>
      </c>
      <c r="F35" s="138">
        <f>E35/E5</f>
        <v>23911.070918257163</v>
      </c>
      <c r="G35" s="139">
        <v>0</v>
      </c>
      <c r="H35" s="140">
        <f t="shared" ref="H35:P35" si="4">H32+H33+H34</f>
        <v>18640.683258402896</v>
      </c>
      <c r="I35" s="141">
        <f t="shared" si="4"/>
        <v>0.19228029206505998</v>
      </c>
      <c r="J35" s="140">
        <f t="shared" si="4"/>
        <v>19228.029206505998</v>
      </c>
      <c r="K35" s="142">
        <f t="shared" si="4"/>
        <v>109201.62871323484</v>
      </c>
      <c r="L35" s="140">
        <f t="shared" si="4"/>
        <v>19623.029206505995</v>
      </c>
      <c r="M35" s="142">
        <f t="shared" si="4"/>
        <v>123905.15446952023</v>
      </c>
      <c r="N35" s="140">
        <f t="shared" si="4"/>
        <v>20691.029206505998</v>
      </c>
      <c r="O35" s="142">
        <f t="shared" si="4"/>
        <v>3586997.7335915985</v>
      </c>
      <c r="P35" s="140">
        <f t="shared" si="4"/>
        <v>24202.183300015895</v>
      </c>
    </row>
  </sheetData>
  <mergeCells count="16">
    <mergeCell ref="A18:A22"/>
    <mergeCell ref="B19:B20"/>
    <mergeCell ref="C19:C20"/>
    <mergeCell ref="B21:B22"/>
    <mergeCell ref="C21:C22"/>
    <mergeCell ref="A1:P2"/>
    <mergeCell ref="A3:A4"/>
    <mergeCell ref="B3:B4"/>
    <mergeCell ref="C3:C4"/>
    <mergeCell ref="D3:D4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F3CD-5945-484F-912B-B89C6203C152}">
  <dimension ref="A1:AG35"/>
  <sheetViews>
    <sheetView workbookViewId="0">
      <selection activeCell="AH40" sqref="AH40"/>
    </sheetView>
  </sheetViews>
  <sheetFormatPr defaultColWidth="12.5703125" defaultRowHeight="15.75" x14ac:dyDescent="0.25"/>
  <cols>
    <col min="1" max="1" width="25.42578125" style="145" customWidth="1"/>
    <col min="2" max="2" width="19.28515625" style="145" customWidth="1"/>
    <col min="3" max="3" width="17.140625" style="145" customWidth="1"/>
    <col min="4" max="4" width="18" style="145" hidden="1" customWidth="1"/>
    <col min="5" max="5" width="14.5703125" style="145" hidden="1" customWidth="1"/>
    <col min="6" max="6" width="17" style="145" customWidth="1"/>
    <col min="7" max="7" width="24" style="145" bestFit="1" customWidth="1"/>
    <col min="8" max="8" width="18.5703125" style="145" bestFit="1" customWidth="1"/>
    <col min="9" max="9" width="17" style="145" customWidth="1"/>
    <col min="10" max="10" width="17.140625" style="145" customWidth="1"/>
    <col min="11" max="11" width="16.140625" style="145" bestFit="1" customWidth="1"/>
    <col min="12" max="12" width="16.7109375" style="145" hidden="1" customWidth="1"/>
    <col min="13" max="13" width="17.28515625" style="145" hidden="1" customWidth="1"/>
    <col min="14" max="15" width="16.7109375" style="145" hidden="1" customWidth="1"/>
    <col min="16" max="25" width="0" style="145" hidden="1" customWidth="1"/>
    <col min="26" max="26" width="12.28515625" style="145" hidden="1" customWidth="1"/>
    <col min="27" max="27" width="13.140625" style="145" hidden="1" customWidth="1"/>
    <col min="28" max="28" width="18.85546875" style="145" hidden="1" customWidth="1"/>
    <col min="29" max="29" width="14.42578125" style="145" hidden="1" customWidth="1"/>
    <col min="30" max="31" width="0" style="145" hidden="1" customWidth="1"/>
    <col min="32" max="32" width="18" style="145" bestFit="1" customWidth="1"/>
    <col min="33" max="16384" width="12.5703125" style="145"/>
  </cols>
  <sheetData>
    <row r="1" spans="1:32" ht="18.75" x14ac:dyDescent="0.3">
      <c r="A1" s="271" t="s">
        <v>84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32" x14ac:dyDescent="0.25">
      <c r="J2" s="146"/>
    </row>
    <row r="3" spans="1:32" x14ac:dyDescent="0.25">
      <c r="A3" s="272" t="s">
        <v>85</v>
      </c>
      <c r="B3" s="269" t="s">
        <v>86</v>
      </c>
      <c r="C3" s="269" t="s">
        <v>87</v>
      </c>
      <c r="D3" s="269" t="s">
        <v>88</v>
      </c>
      <c r="E3" s="269" t="s">
        <v>89</v>
      </c>
      <c r="F3" s="269" t="s">
        <v>90</v>
      </c>
      <c r="G3" s="269" t="s">
        <v>91</v>
      </c>
      <c r="H3" s="269" t="s">
        <v>92</v>
      </c>
      <c r="I3" s="269" t="s">
        <v>93</v>
      </c>
      <c r="J3" s="269" t="s">
        <v>94</v>
      </c>
    </row>
    <row r="4" spans="1:32" x14ac:dyDescent="0.25">
      <c r="A4" s="272"/>
      <c r="B4" s="269"/>
      <c r="C4" s="269"/>
      <c r="D4" s="269"/>
      <c r="E4" s="269"/>
      <c r="F4" s="269"/>
      <c r="G4" s="269"/>
      <c r="H4" s="269"/>
      <c r="I4" s="269"/>
      <c r="J4" s="269"/>
    </row>
    <row r="5" spans="1:32" ht="47.25" x14ac:dyDescent="0.25">
      <c r="A5" s="272"/>
      <c r="B5" s="269"/>
      <c r="C5" s="269"/>
      <c r="D5" s="269"/>
      <c r="E5" s="269"/>
      <c r="F5" s="269"/>
      <c r="G5" s="269"/>
      <c r="H5" s="269"/>
      <c r="I5" s="269"/>
      <c r="J5" s="269"/>
      <c r="L5" s="147" t="s">
        <v>95</v>
      </c>
      <c r="M5" s="148" t="s">
        <v>96</v>
      </c>
      <c r="N5" s="147" t="s">
        <v>97</v>
      </c>
      <c r="O5" s="149" t="s">
        <v>98</v>
      </c>
      <c r="AF5" s="150"/>
    </row>
    <row r="6" spans="1:32" x14ac:dyDescent="0.25">
      <c r="A6" s="151" t="s">
        <v>99</v>
      </c>
      <c r="B6" s="152">
        <v>180.26148000000001</v>
      </c>
      <c r="C6" s="153">
        <v>1914651.4580000001</v>
      </c>
      <c r="D6" s="154">
        <f t="shared" ref="D6:D15" si="0">C6/B6/1000</f>
        <v>10.621523012015656</v>
      </c>
      <c r="E6" s="155">
        <f>I6*D6</f>
        <v>382.83739686800084</v>
      </c>
      <c r="F6" s="156">
        <f>H6/G6</f>
        <v>69010.835758773203</v>
      </c>
      <c r="G6" s="157">
        <v>19.81881517084198</v>
      </c>
      <c r="H6" s="155">
        <v>1367712.9986884585</v>
      </c>
      <c r="I6" s="155">
        <f>F6/C6*1000</f>
        <v>36.043550104341342</v>
      </c>
      <c r="J6" s="158">
        <f>H6/G6/B6</f>
        <v>382.83739686800084</v>
      </c>
      <c r="K6" s="159"/>
      <c r="L6" s="160" t="e">
        <f>#REF!*18.0445</f>
        <v>#REF!</v>
      </c>
      <c r="M6" s="161">
        <v>17.680900000000001</v>
      </c>
      <c r="N6" s="162" t="e">
        <f>#REF!*M6</f>
        <v>#REF!</v>
      </c>
      <c r="O6" s="160" t="e">
        <f>N6-L6</f>
        <v>#REF!</v>
      </c>
      <c r="AF6" s="160"/>
    </row>
    <row r="7" spans="1:32" x14ac:dyDescent="0.25">
      <c r="A7" s="151" t="s">
        <v>100</v>
      </c>
      <c r="B7" s="152">
        <v>155.88493100000002</v>
      </c>
      <c r="C7" s="153">
        <v>1647282.6832067003</v>
      </c>
      <c r="D7" s="154">
        <f t="shared" si="0"/>
        <v>10.567299049622058</v>
      </c>
      <c r="E7" s="155">
        <f>F7/B7</f>
        <v>430.29624094938009</v>
      </c>
      <c r="F7" s="156">
        <f t="shared" ref="F7:F13" si="1">H7/G7</f>
        <v>67076.699829953504</v>
      </c>
      <c r="G7" s="157">
        <v>19.912905660339852</v>
      </c>
      <c r="H7" s="155">
        <v>1335691.9957207984</v>
      </c>
      <c r="I7" s="155">
        <f t="shared" ref="I7:I17" si="2">F7/C7*1000</f>
        <v>40.71960478536564</v>
      </c>
      <c r="J7" s="158">
        <f t="shared" ref="J7:J11" si="3">H7/G7/B7</f>
        <v>430.29624094938009</v>
      </c>
      <c r="L7" s="160" t="e">
        <f>#REF!*18.0445</f>
        <v>#REF!</v>
      </c>
      <c r="M7" s="161">
        <v>17.843399999999999</v>
      </c>
      <c r="N7" s="162" t="e">
        <f>#REF!*M7</f>
        <v>#REF!</v>
      </c>
      <c r="O7" s="160" t="e">
        <f t="shared" ref="O7:O9" si="4">N7-L7</f>
        <v>#REF!</v>
      </c>
    </row>
    <row r="8" spans="1:32" x14ac:dyDescent="0.25">
      <c r="A8" s="151" t="s">
        <v>101</v>
      </c>
      <c r="B8" s="152">
        <v>101.55905509006431</v>
      </c>
      <c r="C8" s="153">
        <v>1072457.7320000001</v>
      </c>
      <c r="D8" s="163">
        <f t="shared" si="0"/>
        <v>10.559942006637677</v>
      </c>
      <c r="E8" s="155">
        <f>I8*D8</f>
        <v>407.46750907137459</v>
      </c>
      <c r="F8" s="156">
        <f t="shared" si="1"/>
        <v>41382.015201191018</v>
      </c>
      <c r="G8" s="157">
        <v>20.193876868431758</v>
      </c>
      <c r="H8" s="155">
        <v>835663.31954042264</v>
      </c>
      <c r="I8" s="155">
        <f t="shared" si="2"/>
        <v>38.586150266284818</v>
      </c>
      <c r="J8" s="158">
        <f t="shared" si="3"/>
        <v>407.46750907137465</v>
      </c>
      <c r="L8" s="160" t="e">
        <f>#REF!*18.0445</f>
        <v>#REF!</v>
      </c>
      <c r="M8" s="161">
        <v>17.706399999999999</v>
      </c>
      <c r="N8" s="162" t="e">
        <f>#REF!*M8</f>
        <v>#REF!</v>
      </c>
      <c r="O8" s="160" t="e">
        <f t="shared" si="4"/>
        <v>#REF!</v>
      </c>
    </row>
    <row r="9" spans="1:32" x14ac:dyDescent="0.25">
      <c r="A9" s="151" t="s">
        <v>102</v>
      </c>
      <c r="B9" s="152">
        <v>31.205069992558396</v>
      </c>
      <c r="C9" s="153">
        <v>328775.61654082086</v>
      </c>
      <c r="D9" s="164">
        <f t="shared" si="0"/>
        <v>10.535967925059145</v>
      </c>
      <c r="E9" s="155">
        <f>F9/B9</f>
        <v>561.86856063104449</v>
      </c>
      <c r="F9" s="156">
        <f t="shared" si="1"/>
        <v>17533.147761109783</v>
      </c>
      <c r="G9" s="157">
        <v>20.194810563892101</v>
      </c>
      <c r="H9" s="155">
        <v>354078.59762434097</v>
      </c>
      <c r="I9" s="155">
        <f t="shared" si="2"/>
        <v>53.328613434241291</v>
      </c>
      <c r="J9" s="158">
        <f t="shared" si="3"/>
        <v>561.86856063104449</v>
      </c>
      <c r="K9" s="150"/>
      <c r="L9" s="160" t="e">
        <f>#REF!*18.0445</f>
        <v>#REF!</v>
      </c>
      <c r="M9" s="161">
        <v>17.791899999999998</v>
      </c>
      <c r="N9" s="162" t="e">
        <f>#REF!*M9</f>
        <v>#REF!</v>
      </c>
      <c r="O9" s="160" t="e">
        <f t="shared" si="4"/>
        <v>#REF!</v>
      </c>
    </row>
    <row r="10" spans="1:32" x14ac:dyDescent="0.25">
      <c r="A10" s="151" t="s">
        <v>103</v>
      </c>
      <c r="B10" s="152">
        <v>15.367688440745184</v>
      </c>
      <c r="C10" s="153">
        <v>161689.07910866904</v>
      </c>
      <c r="D10" s="164">
        <f t="shared" si="0"/>
        <v>10.521366289543849</v>
      </c>
      <c r="E10" s="155">
        <f>I10*D10</f>
        <v>517.89077025256961</v>
      </c>
      <c r="F10" s="156">
        <f>H10/G10</f>
        <v>7958.7840035790323</v>
      </c>
      <c r="G10" s="157">
        <v>20.224150645492639</v>
      </c>
      <c r="H10" s="155">
        <v>160959.64664331937</v>
      </c>
      <c r="I10" s="155">
        <f t="shared" si="2"/>
        <v>49.222767842162312</v>
      </c>
      <c r="J10" s="158">
        <f t="shared" si="3"/>
        <v>517.8907702525695</v>
      </c>
      <c r="K10" s="160"/>
    </row>
    <row r="11" spans="1:32" s="165" customFormat="1" x14ac:dyDescent="0.25">
      <c r="A11" s="151" t="s">
        <v>104</v>
      </c>
      <c r="B11" s="152">
        <v>10.173122272300001</v>
      </c>
      <c r="C11" s="153">
        <v>105444.86790507879</v>
      </c>
      <c r="D11" s="164">
        <f t="shared" si="0"/>
        <v>10.365044780026926</v>
      </c>
      <c r="E11" s="155">
        <f>I11*D11</f>
        <v>528.22841957753883</v>
      </c>
      <c r="F11" s="156">
        <f t="shared" si="1"/>
        <v>5373.7323000660908</v>
      </c>
      <c r="G11" s="157">
        <v>20.156829025984059</v>
      </c>
      <c r="H11" s="155">
        <v>108317.40320384027</v>
      </c>
      <c r="I11" s="155">
        <f t="shared" si="2"/>
        <v>50.962483113957816</v>
      </c>
      <c r="J11" s="158">
        <f t="shared" si="3"/>
        <v>528.22841957753894</v>
      </c>
      <c r="O11" s="166" t="e">
        <f>O6+O7+O8+O9</f>
        <v>#REF!</v>
      </c>
      <c r="P11" s="165" t="s">
        <v>105</v>
      </c>
      <c r="Q11" s="165" t="s">
        <v>106</v>
      </c>
    </row>
    <row r="12" spans="1:32" s="165" customFormat="1" x14ac:dyDescent="0.25">
      <c r="A12" s="151" t="s">
        <v>107</v>
      </c>
      <c r="B12" s="152">
        <v>8.3003252342394447</v>
      </c>
      <c r="C12" s="153">
        <v>85611.198128921285</v>
      </c>
      <c r="D12" s="164">
        <f t="shared" si="0"/>
        <v>10.314198023924277</v>
      </c>
      <c r="E12" s="155">
        <f t="shared" ref="E12:E22" si="5">F12/B12</f>
        <v>516.11797392651977</v>
      </c>
      <c r="F12" s="156">
        <f t="shared" si="1"/>
        <v>4283.9470428268278</v>
      </c>
      <c r="G12" s="157">
        <v>20.164075602577856</v>
      </c>
      <c r="H12" s="155">
        <v>86381.83204899999</v>
      </c>
      <c r="I12" s="155">
        <f t="shared" si="2"/>
        <v>50.039564174486415</v>
      </c>
      <c r="J12" s="158">
        <f>E12</f>
        <v>516.11797392651977</v>
      </c>
    </row>
    <row r="13" spans="1:32" x14ac:dyDescent="0.25">
      <c r="A13" s="151" t="s">
        <v>108</v>
      </c>
      <c r="B13" s="152">
        <v>9.3730830000000012</v>
      </c>
      <c r="C13" s="153">
        <v>96984.856326766938</v>
      </c>
      <c r="D13" s="164">
        <f t="shared" si="0"/>
        <v>10.347167130256601</v>
      </c>
      <c r="E13" s="155">
        <f t="shared" si="5"/>
        <v>598.42870423825082</v>
      </c>
      <c r="F13" s="156">
        <f t="shared" si="1"/>
        <v>5609.1219144075776</v>
      </c>
      <c r="G13" s="157">
        <v>20.103692687277078</v>
      </c>
      <c r="H13" s="155">
        <v>112764.06321272122</v>
      </c>
      <c r="I13" s="155">
        <f t="shared" si="2"/>
        <v>57.835028342043444</v>
      </c>
      <c r="J13" s="158">
        <f t="shared" ref="J13:J18" si="6">E13</f>
        <v>598.42870423825082</v>
      </c>
      <c r="AA13" s="149"/>
      <c r="AB13" s="149"/>
      <c r="AD13" s="149"/>
    </row>
    <row r="14" spans="1:32" s="168" customFormat="1" ht="18.75" customHeight="1" x14ac:dyDescent="0.25">
      <c r="A14" s="151" t="s">
        <v>109</v>
      </c>
      <c r="B14" s="152">
        <v>12</v>
      </c>
      <c r="C14" s="167">
        <v>126000</v>
      </c>
      <c r="D14" s="164">
        <f t="shared" si="0"/>
        <v>10.5</v>
      </c>
      <c r="E14" s="155">
        <f t="shared" si="5"/>
        <v>690.1733239777692</v>
      </c>
      <c r="F14" s="156">
        <f>H14/G14</f>
        <v>8282.0798877332309</v>
      </c>
      <c r="G14" s="157">
        <v>20.111100000000018</v>
      </c>
      <c r="H14" s="155">
        <v>166561.73683019192</v>
      </c>
      <c r="I14" s="155">
        <f t="shared" si="2"/>
        <v>65.730792759787548</v>
      </c>
      <c r="J14" s="158">
        <f t="shared" si="6"/>
        <v>690.1733239777692</v>
      </c>
      <c r="Z14" s="169"/>
      <c r="AA14" s="170" t="s">
        <v>110</v>
      </c>
      <c r="AB14" s="171" t="s">
        <v>111</v>
      </c>
      <c r="AC14" s="171" t="s">
        <v>112</v>
      </c>
      <c r="AD14" s="172" t="s">
        <v>98</v>
      </c>
    </row>
    <row r="15" spans="1:32" s="165" customFormat="1" x14ac:dyDescent="0.25">
      <c r="A15" s="173" t="s">
        <v>113</v>
      </c>
      <c r="B15" s="174">
        <f>SUM(B6:B14)</f>
        <v>524.12475502990742</v>
      </c>
      <c r="C15" s="175">
        <f>SUM(C6:C14)</f>
        <v>5538897.4912169576</v>
      </c>
      <c r="D15" s="176">
        <f t="shared" si="0"/>
        <v>10.567899031788528</v>
      </c>
      <c r="E15" s="177">
        <f>F15/B15</f>
        <v>432.16879478763639</v>
      </c>
      <c r="F15" s="178">
        <f>SUM(F6:F14)</f>
        <v>226510.36369964026</v>
      </c>
      <c r="G15" s="179">
        <f>H15/F15</f>
        <v>19.990836267066065</v>
      </c>
      <c r="H15" s="177">
        <f>SUM(H6:H14)</f>
        <v>4528131.593513093</v>
      </c>
      <c r="I15" s="178">
        <f>F15/C15*1000</f>
        <v>40.894485600937422</v>
      </c>
      <c r="J15" s="180">
        <f>H15/G15/B15</f>
        <v>432.16879478763633</v>
      </c>
    </row>
    <row r="16" spans="1:32" x14ac:dyDescent="0.25">
      <c r="A16" s="151" t="s">
        <v>114</v>
      </c>
      <c r="B16" s="152">
        <v>35.545000000000002</v>
      </c>
      <c r="C16" s="167">
        <v>378200</v>
      </c>
      <c r="D16" s="164">
        <v>10.64</v>
      </c>
      <c r="E16" s="155">
        <f>F16/B16</f>
        <v>857.56544099029384</v>
      </c>
      <c r="F16" s="155">
        <v>30482.163599999996</v>
      </c>
      <c r="G16" s="157">
        <v>20.3</v>
      </c>
      <c r="H16" s="155">
        <v>618787.92107999988</v>
      </c>
      <c r="I16" s="155">
        <f t="shared" si="2"/>
        <v>80.597999999999985</v>
      </c>
      <c r="J16" s="158">
        <f>E16</f>
        <v>857.56544099029384</v>
      </c>
      <c r="T16" s="181"/>
      <c r="Z16" s="270" t="s">
        <v>115</v>
      </c>
      <c r="AA16" s="182" t="s">
        <v>116</v>
      </c>
      <c r="AB16" s="183">
        <v>8706.2245671477394</v>
      </c>
      <c r="AC16" s="184">
        <f>H19/B19</f>
        <v>17049.63810834799</v>
      </c>
      <c r="AD16" s="185">
        <f>AC16-AB16</f>
        <v>8343.4135412002506</v>
      </c>
    </row>
    <row r="17" spans="1:33" x14ac:dyDescent="0.25">
      <c r="A17" s="151" t="s">
        <v>117</v>
      </c>
      <c r="B17" s="152">
        <v>49.398000000000003</v>
      </c>
      <c r="C17" s="167">
        <v>525600</v>
      </c>
      <c r="D17" s="164">
        <v>10.64</v>
      </c>
      <c r="E17" s="155">
        <f t="shared" si="5"/>
        <v>835.17922992833701</v>
      </c>
      <c r="F17" s="155">
        <v>41256.183599999997</v>
      </c>
      <c r="G17" s="157">
        <v>20.3</v>
      </c>
      <c r="H17" s="155">
        <v>837500.52707999991</v>
      </c>
      <c r="I17" s="155">
        <f t="shared" si="2"/>
        <v>78.493499999999997</v>
      </c>
      <c r="J17" s="158">
        <f t="shared" si="6"/>
        <v>835.17922992833701</v>
      </c>
      <c r="N17" s="186"/>
      <c r="T17" s="181"/>
      <c r="Z17" s="270"/>
      <c r="AA17" s="187" t="s">
        <v>118</v>
      </c>
      <c r="AB17" s="183" t="e">
        <f>AB16/K19</f>
        <v>#DIV/0!</v>
      </c>
      <c r="AC17" s="184">
        <f>E19</f>
        <v>839.88365065753646</v>
      </c>
      <c r="AD17" s="185" t="e">
        <f t="shared" ref="AD17:AD19" si="7">AC17-AB17</f>
        <v>#DIV/0!</v>
      </c>
    </row>
    <row r="18" spans="1:33" x14ac:dyDescent="0.25">
      <c r="A18" s="151" t="s">
        <v>119</v>
      </c>
      <c r="B18" s="152">
        <v>74.819999999999993</v>
      </c>
      <c r="C18" s="167">
        <v>796080</v>
      </c>
      <c r="D18" s="164">
        <v>10.64</v>
      </c>
      <c r="E18" s="155">
        <f t="shared" si="5"/>
        <v>834.5894744720664</v>
      </c>
      <c r="F18" s="155">
        <v>62443.984480000006</v>
      </c>
      <c r="G18" s="157">
        <v>20.3</v>
      </c>
      <c r="H18" s="155">
        <v>1267612.8849440003</v>
      </c>
      <c r="I18" s="155">
        <f>F18/C18*1000</f>
        <v>78.439333333333352</v>
      </c>
      <c r="J18" s="158">
        <f t="shared" si="6"/>
        <v>834.5894744720664</v>
      </c>
      <c r="T18" s="181"/>
      <c r="Z18" s="270"/>
      <c r="AA18" s="187" t="s">
        <v>120</v>
      </c>
      <c r="AB18" s="183">
        <v>482.49</v>
      </c>
      <c r="AC18" s="184" t="e">
        <f>H19/#REF!/B19</f>
        <v>#REF!</v>
      </c>
      <c r="AD18" s="185" t="e">
        <f t="shared" si="7"/>
        <v>#REF!</v>
      </c>
    </row>
    <row r="19" spans="1:33" s="193" customFormat="1" x14ac:dyDescent="0.25">
      <c r="A19" s="188" t="s">
        <v>121</v>
      </c>
      <c r="B19" s="189">
        <f>SUM(B16:B18)</f>
        <v>159.76300000000001</v>
      </c>
      <c r="C19" s="190">
        <f>SUM(C16:C18)</f>
        <v>1699880</v>
      </c>
      <c r="D19" s="176">
        <f>C19/B19/1000</f>
        <v>10.640010515576197</v>
      </c>
      <c r="E19" s="177">
        <f t="shared" si="5"/>
        <v>839.88365065753646</v>
      </c>
      <c r="F19" s="177">
        <f>SUM(F16:F18)</f>
        <v>134182.33168</v>
      </c>
      <c r="G19" s="191">
        <f>H19/F19</f>
        <v>20.3</v>
      </c>
      <c r="H19" s="177">
        <f>SUM(H16:H18)</f>
        <v>2723901.333104</v>
      </c>
      <c r="I19" s="192">
        <f>F19/C19*1000</f>
        <v>78.936355319198995</v>
      </c>
      <c r="J19" s="214">
        <f>H19/G19/B19</f>
        <v>839.88365065753646</v>
      </c>
      <c r="T19" s="194"/>
      <c r="U19" s="195"/>
      <c r="Z19" s="196" t="s">
        <v>122</v>
      </c>
      <c r="AA19" s="197" t="s">
        <v>52</v>
      </c>
      <c r="AB19" s="198">
        <v>6788601.4116052901</v>
      </c>
      <c r="AC19" s="198">
        <f>H19</f>
        <v>2723901.333104</v>
      </c>
      <c r="AD19" s="199">
        <f t="shared" si="7"/>
        <v>-4064700.0785012902</v>
      </c>
      <c r="AF19" s="200"/>
      <c r="AG19" s="201"/>
    </row>
    <row r="20" spans="1:33" hidden="1" x14ac:dyDescent="0.25">
      <c r="A20" s="202" t="s">
        <v>123</v>
      </c>
      <c r="B20" s="203">
        <f>B15+B19</f>
        <v>683.88775502990745</v>
      </c>
      <c r="C20" s="204">
        <f>C15+C19</f>
        <v>7238777.4912169576</v>
      </c>
      <c r="D20" s="205">
        <f>C20/B20/1000</f>
        <v>10.584744993570464</v>
      </c>
      <c r="E20" s="206">
        <f t="shared" si="5"/>
        <v>527.41505126651464</v>
      </c>
      <c r="F20" s="207">
        <f>F15+F19</f>
        <v>360692.69537964027</v>
      </c>
      <c r="G20" s="208">
        <f>H20/F20</f>
        <v>20.105849160555092</v>
      </c>
      <c r="H20" s="207">
        <f>H15+H19</f>
        <v>7252032.9266170934</v>
      </c>
      <c r="I20" s="209">
        <f>F20/C20*1000</f>
        <v>49.827846734794697</v>
      </c>
      <c r="J20" s="210">
        <f>H20/G20/B20</f>
        <v>527.41505126651464</v>
      </c>
      <c r="T20" s="211"/>
    </row>
    <row r="21" spans="1:33" hidden="1" x14ac:dyDescent="0.25">
      <c r="A21" s="145" t="s">
        <v>124</v>
      </c>
      <c r="B21" s="211">
        <f>B6+B7+B8+B9</f>
        <v>468.91053608262274</v>
      </c>
      <c r="C21" s="211">
        <f>C6+C7+C8+C9</f>
        <v>4963167.4897475215</v>
      </c>
      <c r="E21" s="212">
        <f t="shared" si="5"/>
        <v>415.86333329193462</v>
      </c>
      <c r="F21" s="211">
        <f>F6+F7+F8+F9</f>
        <v>195002.69855102748</v>
      </c>
      <c r="H21" s="211">
        <f>H6+H7+H8+H9</f>
        <v>3893146.9115740201</v>
      </c>
      <c r="I21" s="211"/>
    </row>
    <row r="22" spans="1:33" hidden="1" x14ac:dyDescent="0.25">
      <c r="A22" s="145" t="s">
        <v>125</v>
      </c>
      <c r="B22" s="211">
        <f>B10+B11+B12+B13+B14+B16+B17+B18</f>
        <v>214.97721894728463</v>
      </c>
      <c r="C22" s="211">
        <f>C10+C11+C12+C13+C14+C16+C17+C18</f>
        <v>2275610.0014694361</v>
      </c>
      <c r="E22" s="212">
        <f t="shared" si="5"/>
        <v>770.73281364404579</v>
      </c>
      <c r="F22" s="211">
        <f>F10+F11+F12+F13+F14+F16+F17+F18</f>
        <v>165689.99682861276</v>
      </c>
      <c r="H22" s="211">
        <f>H10+H11+H12+H13+H14+H16+H17+H18</f>
        <v>3358886.0150430729</v>
      </c>
      <c r="I22" s="211"/>
    </row>
    <row r="23" spans="1:33" hidden="1" x14ac:dyDescent="0.25"/>
    <row r="24" spans="1:33" hidden="1" x14ac:dyDescent="0.25">
      <c r="A24" s="213" t="s">
        <v>126</v>
      </c>
    </row>
    <row r="25" spans="1:33" hidden="1" x14ac:dyDescent="0.25">
      <c r="A25" s="145" t="s">
        <v>127</v>
      </c>
      <c r="B25" s="211">
        <f>'[3]cost gaz 2026'!$B$22</f>
        <v>462.17982499999999</v>
      </c>
      <c r="C25" s="211">
        <f>'[3]cost gaz 2026'!$C$22</f>
        <v>4917593</v>
      </c>
      <c r="E25" s="212">
        <f>'[4]cost gaz 2026'!$I$22</f>
        <v>390.73818773480434</v>
      </c>
      <c r="F25" s="211">
        <f>'[4]cost gaz 2026'!$J$22</f>
        <v>180591.30722808902</v>
      </c>
      <c r="H25" s="211">
        <f>'[4]cost gaz 2026'!$L$22</f>
        <v>3666003.5367302075</v>
      </c>
      <c r="I25" s="211"/>
    </row>
    <row r="26" spans="1:33" hidden="1" x14ac:dyDescent="0.25">
      <c r="A26" s="145" t="s">
        <v>125</v>
      </c>
      <c r="B26" s="211">
        <f>'[3]cost gaz 2026'!$B$69</f>
        <v>205.17875000000001</v>
      </c>
      <c r="C26" s="211">
        <f>'[3]cost gaz 2026'!$C$69</f>
        <v>2183102</v>
      </c>
      <c r="E26" s="212">
        <f>'[4]cost gaz 2026'!$I$69</f>
        <v>386.2125960767749</v>
      </c>
      <c r="F26" s="211">
        <f>'[4]cost gaz 2026'!$J$69</f>
        <v>79242.617697287584</v>
      </c>
      <c r="H26" s="211">
        <f>'[4]cost gaz 2026'!$L$69</f>
        <v>1608625.1392549381</v>
      </c>
      <c r="I26" s="211"/>
    </row>
    <row r="27" spans="1:33" hidden="1" x14ac:dyDescent="0.25"/>
    <row r="28" spans="1:33" hidden="1" x14ac:dyDescent="0.25">
      <c r="D28" s="145" t="s">
        <v>72</v>
      </c>
      <c r="E28" s="212">
        <f>E21/E25*100-100</f>
        <v>6.4301740515270183</v>
      </c>
      <c r="F28" s="145" t="s">
        <v>72</v>
      </c>
    </row>
    <row r="29" spans="1:33" hidden="1" x14ac:dyDescent="0.25">
      <c r="D29" s="145" t="s">
        <v>72</v>
      </c>
      <c r="E29" s="212">
        <f>E22/E26*100-100</f>
        <v>99.561801317021889</v>
      </c>
      <c r="F29" s="145" t="s">
        <v>72</v>
      </c>
    </row>
    <row r="30" spans="1:33" hidden="1" x14ac:dyDescent="0.25"/>
    <row r="31" spans="1:33" hidden="1" x14ac:dyDescent="0.25"/>
    <row r="32" spans="1:33" hidden="1" x14ac:dyDescent="0.25"/>
    <row r="35" spans="3:3" x14ac:dyDescent="0.25">
      <c r="C35" s="212"/>
    </row>
  </sheetData>
  <mergeCells count="12">
    <mergeCell ref="J3:J5"/>
    <mergeCell ref="Z16:Z18"/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838B-0053-43D0-900B-50BCF8A18E80}">
  <dimension ref="A2:E30"/>
  <sheetViews>
    <sheetView zoomScale="62" zoomScaleNormal="62" workbookViewId="0">
      <selection activeCell="O18" sqref="O18"/>
    </sheetView>
  </sheetViews>
  <sheetFormatPr defaultRowHeight="15" x14ac:dyDescent="0.25"/>
  <cols>
    <col min="2" max="2" width="71.85546875" customWidth="1"/>
    <col min="3" max="3" width="21.140625" customWidth="1"/>
    <col min="4" max="4" width="16.28515625" customWidth="1"/>
    <col min="5" max="5" width="47.5703125" customWidth="1"/>
  </cols>
  <sheetData>
    <row r="2" spans="1:5" ht="57.75" customHeight="1" x14ac:dyDescent="0.35">
      <c r="B2" s="273" t="s">
        <v>135</v>
      </c>
      <c r="C2" s="273"/>
      <c r="D2" s="273"/>
      <c r="E2" s="273"/>
    </row>
    <row r="3" spans="1:5" ht="20.25" customHeight="1" thickBot="1" x14ac:dyDescent="0.3"/>
    <row r="4" spans="1:5" ht="46.5" customHeight="1" x14ac:dyDescent="0.25">
      <c r="A4" s="251" t="s">
        <v>0</v>
      </c>
      <c r="B4" s="253" t="s">
        <v>1</v>
      </c>
      <c r="C4" s="255" t="s">
        <v>2</v>
      </c>
      <c r="D4" s="257" t="s">
        <v>3</v>
      </c>
      <c r="E4" s="231" t="s">
        <v>128</v>
      </c>
    </row>
    <row r="5" spans="1:5" ht="21" thickBot="1" x14ac:dyDescent="0.3">
      <c r="A5" s="252"/>
      <c r="B5" s="254"/>
      <c r="C5" s="256"/>
      <c r="D5" s="258"/>
      <c r="E5" s="232" t="s">
        <v>10</v>
      </c>
    </row>
    <row r="6" spans="1:5" ht="40.5" x14ac:dyDescent="0.25">
      <c r="A6" s="13">
        <v>1</v>
      </c>
      <c r="B6" s="22" t="s">
        <v>15</v>
      </c>
      <c r="C6" s="23" t="s">
        <v>16</v>
      </c>
      <c r="D6" s="7" t="s">
        <v>13</v>
      </c>
      <c r="E6" s="233">
        <f>'[5]Tarif 2026 ANRE'!$E$7</f>
        <v>520.31323369743995</v>
      </c>
    </row>
    <row r="7" spans="1:5" ht="40.5" x14ac:dyDescent="0.25">
      <c r="A7" s="13">
        <v>2</v>
      </c>
      <c r="B7" s="22" t="s">
        <v>22</v>
      </c>
      <c r="C7" s="23" t="s">
        <v>23</v>
      </c>
      <c r="D7" s="7" t="s">
        <v>13</v>
      </c>
      <c r="E7" s="234">
        <f>'[5]Volume lunare 2026'!E15+'[5]Volume lunare 2026'!I15+'[5]Volume lunare 2026'!O15</f>
        <v>24.156248999999999</v>
      </c>
    </row>
    <row r="8" spans="1:5" ht="60.75" x14ac:dyDescent="0.25">
      <c r="A8" s="45">
        <v>3</v>
      </c>
      <c r="B8" s="19" t="s">
        <v>31</v>
      </c>
      <c r="C8" s="46" t="s">
        <v>32</v>
      </c>
      <c r="D8" s="47" t="s">
        <v>13</v>
      </c>
      <c r="E8" s="235">
        <f>'[5]Tarif 2026 ANRE'!$E$17</f>
        <v>496.15697469743998</v>
      </c>
    </row>
    <row r="9" spans="1:5" ht="25.5" x14ac:dyDescent="0.25">
      <c r="A9" s="53" t="s">
        <v>17</v>
      </c>
      <c r="B9" s="54" t="s">
        <v>34</v>
      </c>
      <c r="C9" s="55" t="s">
        <v>35</v>
      </c>
      <c r="D9" s="56" t="s">
        <v>19</v>
      </c>
      <c r="E9" s="236">
        <f>'[5]Tarif 2026 ANRE'!$E$18</f>
        <v>145.556138</v>
      </c>
    </row>
    <row r="10" spans="1:5" ht="25.5" x14ac:dyDescent="0.25">
      <c r="A10" s="53" t="s">
        <v>20</v>
      </c>
      <c r="B10" s="54" t="s">
        <v>37</v>
      </c>
      <c r="C10" s="55" t="s">
        <v>38</v>
      </c>
      <c r="D10" s="56" t="s">
        <v>19</v>
      </c>
      <c r="E10" s="236">
        <f>'[5]Tarif 2026 ANRE'!$E$19</f>
        <v>55.817926</v>
      </c>
    </row>
    <row r="11" spans="1:5" ht="25.5" x14ac:dyDescent="0.25">
      <c r="A11" s="53" t="s">
        <v>136</v>
      </c>
      <c r="B11" s="54" t="s">
        <v>40</v>
      </c>
      <c r="C11" s="55" t="s">
        <v>41</v>
      </c>
      <c r="D11" s="56" t="s">
        <v>19</v>
      </c>
      <c r="E11" s="236">
        <f>'[5]Tarif 2026 ANRE'!$E$20</f>
        <v>294.78291069744</v>
      </c>
    </row>
    <row r="12" spans="1:5" ht="20.25" x14ac:dyDescent="0.25">
      <c r="A12" s="262">
        <v>4</v>
      </c>
      <c r="B12" s="59" t="s">
        <v>42</v>
      </c>
      <c r="C12" s="36" t="s">
        <v>43</v>
      </c>
      <c r="D12" s="30" t="s">
        <v>44</v>
      </c>
      <c r="E12" s="237">
        <f>'Cost Gaze naturale'!G15</f>
        <v>19.990836267066065</v>
      </c>
    </row>
    <row r="13" spans="1:5" ht="20.25" x14ac:dyDescent="0.25">
      <c r="A13" s="263"/>
      <c r="B13" s="265" t="s">
        <v>45</v>
      </c>
      <c r="C13" s="266" t="s">
        <v>46</v>
      </c>
      <c r="D13" s="63" t="s">
        <v>47</v>
      </c>
      <c r="E13" s="238">
        <f>'Cost Gaze naturale'!J15</f>
        <v>432.16879478763633</v>
      </c>
    </row>
    <row r="14" spans="1:5" ht="20.25" x14ac:dyDescent="0.25">
      <c r="A14" s="263"/>
      <c r="B14" s="265"/>
      <c r="C14" s="266"/>
      <c r="D14" s="30" t="s">
        <v>48</v>
      </c>
      <c r="E14" s="239">
        <f>E13*E12</f>
        <v>8639.4156163349126</v>
      </c>
    </row>
    <row r="15" spans="1:5" ht="20.25" x14ac:dyDescent="0.25">
      <c r="A15" s="263"/>
      <c r="B15" s="267" t="s">
        <v>49</v>
      </c>
      <c r="C15" s="268" t="s">
        <v>50</v>
      </c>
      <c r="D15" s="71" t="s">
        <v>51</v>
      </c>
      <c r="E15" s="240">
        <f>E13*E6</f>
        <v>224863.1431190804</v>
      </c>
    </row>
    <row r="16" spans="1:5" ht="20.25" x14ac:dyDescent="0.25">
      <c r="A16" s="264"/>
      <c r="B16" s="267"/>
      <c r="C16" s="268"/>
      <c r="D16" s="71" t="s">
        <v>52</v>
      </c>
      <c r="E16" s="241">
        <f>E15*E12</f>
        <v>4495202.2765913792</v>
      </c>
    </row>
    <row r="17" spans="1:5" ht="60.75" x14ac:dyDescent="0.25">
      <c r="A17" s="81" t="s">
        <v>137</v>
      </c>
      <c r="B17" s="82" t="s">
        <v>54</v>
      </c>
      <c r="C17" s="83" t="s">
        <v>55</v>
      </c>
      <c r="D17" s="71" t="s">
        <v>52</v>
      </c>
      <c r="E17" s="241">
        <f>'[5]Tarif 2026 ANRE'!$E$26</f>
        <v>345043.08293059346</v>
      </c>
    </row>
    <row r="18" spans="1:5" ht="60.75" x14ac:dyDescent="0.25">
      <c r="A18" s="87">
        <v>6</v>
      </c>
      <c r="B18" s="82" t="s">
        <v>56</v>
      </c>
      <c r="C18" s="83" t="s">
        <v>57</v>
      </c>
      <c r="D18" s="71" t="s">
        <v>52</v>
      </c>
      <c r="E18" s="242">
        <f>'[5]Tarif 2026 ANRE'!$E$27</f>
        <v>1586123.6072420001</v>
      </c>
    </row>
    <row r="19" spans="1:5" ht="24" x14ac:dyDescent="0.25">
      <c r="A19" s="89">
        <v>6.1</v>
      </c>
      <c r="B19" s="90" t="s">
        <v>134</v>
      </c>
      <c r="C19" s="91" t="s">
        <v>59</v>
      </c>
      <c r="D19" s="92" t="s">
        <v>52</v>
      </c>
      <c r="E19" s="243">
        <f>'[5]Tarif 2026 ANRE'!$E$28</f>
        <v>18406.533915</v>
      </c>
    </row>
    <row r="20" spans="1:5" ht="24" x14ac:dyDescent="0.25">
      <c r="A20" s="89">
        <v>6.2</v>
      </c>
      <c r="B20" s="96" t="s">
        <v>60</v>
      </c>
      <c r="C20" s="91" t="s">
        <v>61</v>
      </c>
      <c r="D20" s="92" t="s">
        <v>52</v>
      </c>
      <c r="E20" s="243">
        <f>'[5]Tarif 2026 ANRE'!$E$29</f>
        <v>81370.983168999999</v>
      </c>
    </row>
    <row r="21" spans="1:5" ht="24" x14ac:dyDescent="0.25">
      <c r="A21" s="89">
        <v>6.3</v>
      </c>
      <c r="B21" s="96" t="s">
        <v>62</v>
      </c>
      <c r="C21" s="91" t="s">
        <v>63</v>
      </c>
      <c r="D21" s="92" t="s">
        <v>52</v>
      </c>
      <c r="E21" s="243">
        <f>'[5]Tarif 2026 ANRE'!$E$30</f>
        <v>1486346.0901580001</v>
      </c>
    </row>
    <row r="22" spans="1:5" ht="60.75" x14ac:dyDescent="0.25">
      <c r="A22" s="97">
        <v>7</v>
      </c>
      <c r="B22" s="82" t="s">
        <v>64</v>
      </c>
      <c r="C22" s="36" t="s">
        <v>65</v>
      </c>
      <c r="D22" s="71" t="s">
        <v>52</v>
      </c>
      <c r="E22" s="241">
        <f>'[5]Tarif 2026 ANRE'!$E$31</f>
        <v>191292.67233622464</v>
      </c>
    </row>
    <row r="23" spans="1:5" ht="60.75" x14ac:dyDescent="0.25">
      <c r="A23" s="45">
        <v>8</v>
      </c>
      <c r="B23" s="19" t="s">
        <v>66</v>
      </c>
      <c r="C23" s="36" t="s">
        <v>67</v>
      </c>
      <c r="D23" s="71" t="s">
        <v>52</v>
      </c>
      <c r="E23" s="244">
        <f>'[5]Tarif 2026 ANRE'!$E$34</f>
        <v>6617661.6391001986</v>
      </c>
    </row>
    <row r="24" spans="1:5" ht="40.5" x14ac:dyDescent="0.25">
      <c r="A24" s="97">
        <v>9</v>
      </c>
      <c r="B24" s="82" t="s">
        <v>68</v>
      </c>
      <c r="C24" s="83" t="s">
        <v>69</v>
      </c>
      <c r="D24" s="71" t="s">
        <v>52</v>
      </c>
      <c r="E24" s="244">
        <f>'[5]Tarif 2026 ANRE'!$E$35</f>
        <v>45297.808296490752</v>
      </c>
    </row>
    <row r="25" spans="1:5" ht="28.5" customHeight="1" thickBot="1" x14ac:dyDescent="0.3">
      <c r="A25" s="106">
        <v>9.1</v>
      </c>
      <c r="B25" s="107" t="s">
        <v>70</v>
      </c>
      <c r="C25" s="108" t="s">
        <v>71</v>
      </c>
      <c r="D25" s="109" t="s">
        <v>72</v>
      </c>
      <c r="E25" s="245">
        <f>[5]WACC!H8</f>
        <v>9.9200236590909086</v>
      </c>
    </row>
    <row r="26" spans="1:5" ht="34.5" customHeight="1" thickBot="1" x14ac:dyDescent="0.3">
      <c r="A26" s="112" t="s">
        <v>73</v>
      </c>
      <c r="B26" s="113" t="s">
        <v>74</v>
      </c>
      <c r="C26" s="114" t="s">
        <v>75</v>
      </c>
      <c r="D26" s="115" t="s">
        <v>52</v>
      </c>
      <c r="E26" s="246">
        <f>E23+E24</f>
        <v>6662959.4473966891</v>
      </c>
    </row>
    <row r="27" spans="1:5" ht="81.75" thickBot="1" x14ac:dyDescent="0.3">
      <c r="A27" s="215" t="s">
        <v>76</v>
      </c>
      <c r="B27" s="216" t="s">
        <v>129</v>
      </c>
      <c r="C27" s="217" t="s">
        <v>78</v>
      </c>
      <c r="D27" s="218" t="s">
        <v>52</v>
      </c>
      <c r="E27" s="242">
        <f>'[5]Tarif 2026 ANRE'!$E$38</f>
        <v>-48395.306382540453</v>
      </c>
    </row>
    <row r="28" spans="1:5" ht="81.75" thickBot="1" x14ac:dyDescent="0.3">
      <c r="A28" s="219" t="s">
        <v>79</v>
      </c>
      <c r="B28" s="220" t="s">
        <v>130</v>
      </c>
      <c r="C28" s="221" t="s">
        <v>75</v>
      </c>
      <c r="D28" s="222" t="s">
        <v>52</v>
      </c>
      <c r="E28" s="247">
        <f>E17+E18+E22+E24+E27+E16</f>
        <v>6614564.1410141475</v>
      </c>
    </row>
    <row r="29" spans="1:5" ht="60.75" x14ac:dyDescent="0.25">
      <c r="A29" s="223" t="s">
        <v>82</v>
      </c>
      <c r="B29" s="224" t="s">
        <v>131</v>
      </c>
      <c r="C29" s="121"/>
      <c r="D29" s="225" t="s">
        <v>52</v>
      </c>
      <c r="E29" s="248">
        <f>'[5]Tarif 2026 ANRE'!$E$42</f>
        <v>6432533.4951777179</v>
      </c>
    </row>
    <row r="30" spans="1:5" ht="41.25" thickBot="1" x14ac:dyDescent="0.3">
      <c r="A30" s="227" t="s">
        <v>132</v>
      </c>
      <c r="B30" s="228" t="s">
        <v>133</v>
      </c>
      <c r="C30" s="229"/>
      <c r="D30" s="230" t="s">
        <v>52</v>
      </c>
      <c r="E30" s="249">
        <f>E28-E29</f>
        <v>182030.64583642967</v>
      </c>
    </row>
  </sheetData>
  <mergeCells count="10">
    <mergeCell ref="B2:E2"/>
    <mergeCell ref="A4:A5"/>
    <mergeCell ref="B4:B5"/>
    <mergeCell ref="C4:C5"/>
    <mergeCell ref="D4:D5"/>
    <mergeCell ref="A12:A16"/>
    <mergeCell ref="B13:B14"/>
    <mergeCell ref="C13:C14"/>
    <mergeCell ref="B15:B16"/>
    <mergeCell ref="C15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 preț trim 4 2026</vt:lpstr>
      <vt:lpstr>Cost Gaze naturale</vt:lpstr>
      <vt:lpstr>Calcul devieri ian-septemb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Strungari Ecaterina</dc:creator>
  <cp:lastModifiedBy>Strungari Ecaterina</cp:lastModifiedBy>
  <dcterms:created xsi:type="dcterms:W3CDTF">2015-06-05T18:17:20Z</dcterms:created>
  <dcterms:modified xsi:type="dcterms:W3CDTF">2026-09-24T13:26:06Z</dcterms:modified>
</cp:coreProperties>
</file>